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45" windowWidth="15600" windowHeight="7425" tabRatio="925" activeTab="5"/>
  </bookViews>
  <sheets>
    <sheet name="1 кв со спец надбавкой" sheetId="13" r:id="rId1"/>
    <sheet name="1-полугодие дактив." sheetId="8" state="hidden" r:id="rId2"/>
    <sheet name="1 кв без спец надбавки" sheetId="16" state="hidden" r:id="rId3"/>
    <sheet name="1-полугод 25г.спец.надб." sheetId="17" r:id="rId4"/>
    <sheet name="9МЕС.СО СПЕЦ.НАДБАВКИ (2)" sheetId="27" r:id="rId5"/>
    <sheet name="2025 год по смете со спец.надб." sheetId="28" r:id="rId6"/>
    <sheet name="2025 год по бизнес плану со спе" sheetId="29" r:id="rId7"/>
    <sheet name="1 полугодие" sheetId="15" state="hidden" r:id="rId8"/>
    <sheet name="9 месяцев 22 года." sheetId="9" state="hidden" r:id="rId9"/>
    <sheet name="9 мес.21 г (с надб)" sheetId="10" state="hidden" r:id="rId10"/>
    <sheet name="2022 г. " sheetId="11" state="hidden" r:id="rId11"/>
    <sheet name="2021 г. давлат активлари" sheetId="12" state="hidden" r:id="rId12"/>
    <sheet name="за 1 полугодие 20 г." sheetId="2" state="hidden" r:id="rId13"/>
    <sheet name="9месяцев 2020 г. для давлат акт" sheetId="3" state="hidden" r:id="rId14"/>
    <sheet name="9месяцев 2020 г. с зат.по виду" sheetId="4" state="hidden" r:id="rId15"/>
    <sheet name="2020 г. для давлат (2" sheetId="5" state="hidden" r:id="rId16"/>
    <sheet name="2020 г. по зат.по виду" sheetId="6" state="hidden" r:id="rId17"/>
    <sheet name="1-полугод 2023 г. без.сп.над " sheetId="19" state="hidden" r:id="rId18"/>
    <sheet name="9МЕС.СО СПЕЦ.НАДБАВКИ" sheetId="20" state="hidden" r:id="rId19"/>
    <sheet name="12.МЕС.СО СПЕЦ.НАДБАВКой" sheetId="26" state="hidden" r:id="rId20"/>
    <sheet name="9МЕС БЕЗ СПЕЦ.НАДБ." sheetId="23" state="hidden" r:id="rId21"/>
    <sheet name="12.МЕС.СО СПЕЦ.НАДБАВКИ (2)" sheetId="24" state="hidden" r:id="rId22"/>
    <sheet name="12.МЕС.без СПЕЦ.НАДБ." sheetId="25" state="hidden" r:id="rId23"/>
    <sheet name="Лист4" sheetId="22" state="hidden" r:id="rId24"/>
    <sheet name="Лист2" sheetId="18" state="hidden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Titles" localSheetId="2">'1 кв без спец надбавки'!$2:$3</definedName>
    <definedName name="_xlnm.Print_Titles" localSheetId="0">'1 кв со спец надбавкой'!$2:$3</definedName>
    <definedName name="_xlnm.Print_Titles" localSheetId="7">'1 полугодие'!$2:$3</definedName>
    <definedName name="_xlnm.Print_Titles" localSheetId="22">'12.МЕС.без СПЕЦ.НАДБ.'!$2:$3</definedName>
    <definedName name="_xlnm.Print_Titles" localSheetId="21">'12.МЕС.СО СПЕЦ.НАДБАВКИ (2)'!$2:$3</definedName>
    <definedName name="_xlnm.Print_Titles" localSheetId="19">'12.МЕС.СО СПЕЦ.НАДБАВКой'!$2:$3</definedName>
    <definedName name="_xlnm.Print_Titles" localSheetId="17">'1-полугод 2023 г. без.сп.над '!$2:$3</definedName>
    <definedName name="_xlnm.Print_Titles" localSheetId="3">'1-полугод 25г.спец.надб.'!$2:$3</definedName>
    <definedName name="_xlnm.Print_Titles" localSheetId="1">'1-полугодие дактив.'!$2:$3</definedName>
    <definedName name="_xlnm.Print_Titles" localSheetId="15">'2020 г. для давлат (2'!$2:$3</definedName>
    <definedName name="_xlnm.Print_Titles" localSheetId="16">'2020 г. по зат.по виду'!$2:$3</definedName>
    <definedName name="_xlnm.Print_Titles" localSheetId="11">'2021 г. давлат активлари'!$2:$3</definedName>
    <definedName name="_xlnm.Print_Titles" localSheetId="10">'2022 г. '!$2:$3</definedName>
    <definedName name="_xlnm.Print_Titles" localSheetId="6">'2025 год по бизнес плану со спе'!$2:$3</definedName>
    <definedName name="_xlnm.Print_Titles" localSheetId="5">'2025 год по смете со спец.надб.'!$2:$3</definedName>
    <definedName name="_xlnm.Print_Titles" localSheetId="9">'9 мес.21 г (с надб)'!$2:$3</definedName>
    <definedName name="_xlnm.Print_Titles" localSheetId="8">'9 месяцев 22 года.'!$2:$3</definedName>
    <definedName name="_xlnm.Print_Titles" localSheetId="20">'9МЕС БЕЗ СПЕЦ.НАДБ.'!$2:$3</definedName>
    <definedName name="_xlnm.Print_Titles" localSheetId="18">'9МЕС.СО СПЕЦ.НАДБАВКИ'!$2:$3</definedName>
    <definedName name="_xlnm.Print_Titles" localSheetId="4">'9МЕС.СО СПЕЦ.НАДБАВКИ (2)'!$2:$3</definedName>
    <definedName name="_xlnm.Print_Titles" localSheetId="13">'9месяцев 2020 г. для давлат акт'!$2:$3</definedName>
    <definedName name="_xlnm.Print_Titles" localSheetId="14">'9месяцев 2020 г. с зат.по виду'!$2:$3</definedName>
    <definedName name="_xlnm.Print_Titles" localSheetId="12">'за 1 полугодие 20 г.'!$2:$3</definedName>
    <definedName name="_xlnm.Print_Area" localSheetId="2">'1 кв без спец надбавки'!$A$1:$I$169</definedName>
    <definedName name="_xlnm.Print_Area" localSheetId="0">'1 кв со спец надбавкой'!$A$1:$I$169</definedName>
    <definedName name="_xlnm.Print_Area" localSheetId="7">'1 полугодие'!$A$1:$I$169</definedName>
    <definedName name="_xlnm.Print_Area" localSheetId="22">'12.МЕС.без СПЕЦ.НАДБ.'!$A$1:$I$170</definedName>
    <definedName name="_xlnm.Print_Area" localSheetId="21">'12.МЕС.СО СПЕЦ.НАДБАВКИ (2)'!$A$1:$I$170</definedName>
    <definedName name="_xlnm.Print_Area" localSheetId="19">'12.МЕС.СО СПЕЦ.НАДБАВКой'!$A$1:$I$170</definedName>
    <definedName name="_xlnm.Print_Area" localSheetId="17">'1-полугод 2023 г. без.сп.над '!$A$1:$I$169</definedName>
    <definedName name="_xlnm.Print_Area" localSheetId="3">'1-полугод 25г.спец.надб.'!$A$1:$I$169</definedName>
    <definedName name="_xlnm.Print_Area" localSheetId="1">'1-полугодие дактив.'!$A$1:$I$169</definedName>
    <definedName name="_xlnm.Print_Area" localSheetId="15">'2020 г. для давлат (2'!$A$1:$J$168</definedName>
    <definedName name="_xlnm.Print_Area" localSheetId="16">'2020 г. по зат.по виду'!$A$1:$J$168</definedName>
    <definedName name="_xlnm.Print_Area" localSheetId="11">'2021 г. давлат активлари'!$A$1:$I$168</definedName>
    <definedName name="_xlnm.Print_Area" localSheetId="10">'2022 г. '!$A$1:$I$169</definedName>
    <definedName name="_xlnm.Print_Area" localSheetId="6">'2025 год по бизнес плану со спе'!$A$1:$I$170</definedName>
    <definedName name="_xlnm.Print_Area" localSheetId="5">'2025 год по смете со спец.надб.'!$A$1:$I$170</definedName>
    <definedName name="_xlnm.Print_Area" localSheetId="9">'9 мес.21 г (с надб)'!$A$1:$I$169</definedName>
    <definedName name="_xlnm.Print_Area" localSheetId="8">'9 месяцев 22 года.'!$A$1:$I$169</definedName>
    <definedName name="_xlnm.Print_Area" localSheetId="20">'9МЕС БЕЗ СПЕЦ.НАДБ.'!$A$1:$I$169</definedName>
    <definedName name="_xlnm.Print_Area" localSheetId="18">'9МЕС.СО СПЕЦ.НАДБАВКИ'!$A$1:$I$169</definedName>
    <definedName name="_xlnm.Print_Area" localSheetId="4">'9МЕС.СО СПЕЦ.НАДБАВКИ (2)'!$A$1:$I$169</definedName>
    <definedName name="_xlnm.Print_Area" localSheetId="13">'9месяцев 2020 г. для давлат акт'!$A$1:$J$168</definedName>
    <definedName name="_xlnm.Print_Area" localSheetId="14">'9месяцев 2020 г. с зат.по виду'!$A$1:$J$168</definedName>
    <definedName name="_xlnm.Print_Area" localSheetId="12">'за 1 полугодие 20 г.'!$A$1:$J$168</definedName>
  </definedNames>
  <calcPr calcId="144525"/>
</workbook>
</file>

<file path=xl/calcChain.xml><?xml version="1.0" encoding="utf-8"?>
<calcChain xmlns="http://schemas.openxmlformats.org/spreadsheetml/2006/main">
  <c r="E109" i="29" l="1"/>
  <c r="D38" i="28"/>
  <c r="D37" i="28"/>
  <c r="E37" i="28"/>
  <c r="H128" i="29" l="1"/>
  <c r="B167" i="29"/>
  <c r="G165" i="29"/>
  <c r="E159" i="29"/>
  <c r="I159" i="29" s="1"/>
  <c r="I158" i="29"/>
  <c r="E158" i="29"/>
  <c r="I157" i="29"/>
  <c r="E157" i="29"/>
  <c r="I156" i="29"/>
  <c r="E156" i="29"/>
  <c r="I155" i="29"/>
  <c r="E155" i="29"/>
  <c r="E154" i="29"/>
  <c r="E153" i="29"/>
  <c r="I152" i="29"/>
  <c r="G152" i="29"/>
  <c r="F152" i="29"/>
  <c r="I151" i="29"/>
  <c r="G151" i="29"/>
  <c r="F151" i="29"/>
  <c r="G150" i="29"/>
  <c r="F150" i="29"/>
  <c r="G149" i="29"/>
  <c r="F149" i="29"/>
  <c r="I148" i="29"/>
  <c r="G148" i="29"/>
  <c r="F148" i="29"/>
  <c r="I147" i="29"/>
  <c r="G147" i="29"/>
  <c r="I146" i="29"/>
  <c r="G146" i="29"/>
  <c r="G145" i="29"/>
  <c r="I144" i="29"/>
  <c r="G144" i="29"/>
  <c r="I143" i="29"/>
  <c r="G143" i="29"/>
  <c r="I141" i="29"/>
  <c r="G141" i="29"/>
  <c r="I140" i="29"/>
  <c r="G140" i="29"/>
  <c r="I139" i="29"/>
  <c r="G139" i="29"/>
  <c r="I138" i="29"/>
  <c r="G138" i="29"/>
  <c r="I137" i="29"/>
  <c r="G137" i="29"/>
  <c r="I136" i="29"/>
  <c r="G136" i="29"/>
  <c r="I135" i="29"/>
  <c r="G135" i="29"/>
  <c r="G134" i="29"/>
  <c r="I133" i="29"/>
  <c r="G133" i="29"/>
  <c r="G132" i="29"/>
  <c r="I131" i="29"/>
  <c r="G131" i="29"/>
  <c r="I130" i="29"/>
  <c r="G130" i="29"/>
  <c r="F130" i="29"/>
  <c r="I129" i="29"/>
  <c r="G129" i="29"/>
  <c r="F129" i="29"/>
  <c r="I128" i="29"/>
  <c r="G128" i="29"/>
  <c r="F128" i="29"/>
  <c r="I127" i="29"/>
  <c r="G127" i="29"/>
  <c r="F127" i="29"/>
  <c r="G126" i="29"/>
  <c r="H125" i="29"/>
  <c r="E125" i="29"/>
  <c r="D125" i="29"/>
  <c r="F125" i="29" s="1"/>
  <c r="I120" i="29"/>
  <c r="G120" i="29"/>
  <c r="F120" i="29"/>
  <c r="M119" i="29"/>
  <c r="I119" i="29"/>
  <c r="G119" i="29"/>
  <c r="F119" i="29"/>
  <c r="H118" i="29"/>
  <c r="I118" i="29" s="1"/>
  <c r="G118" i="29"/>
  <c r="F118" i="29"/>
  <c r="I117" i="29"/>
  <c r="G117" i="29"/>
  <c r="I116" i="29"/>
  <c r="G116" i="29"/>
  <c r="I115" i="29"/>
  <c r="G115" i="29"/>
  <c r="H113" i="29"/>
  <c r="E113" i="29"/>
  <c r="I113" i="29" s="1"/>
  <c r="D113" i="29"/>
  <c r="I112" i="29"/>
  <c r="G112" i="29"/>
  <c r="F112" i="29"/>
  <c r="I111" i="29"/>
  <c r="G111" i="29"/>
  <c r="F111" i="29"/>
  <c r="I110" i="29"/>
  <c r="G110" i="29"/>
  <c r="F110" i="29"/>
  <c r="I109" i="29"/>
  <c r="G109" i="29"/>
  <c r="F109" i="29"/>
  <c r="I108" i="29"/>
  <c r="G108" i="29"/>
  <c r="H107" i="29"/>
  <c r="E107" i="29"/>
  <c r="D107" i="29"/>
  <c r="I106" i="29"/>
  <c r="G106" i="29"/>
  <c r="F106" i="29"/>
  <c r="I105" i="29"/>
  <c r="G105" i="29"/>
  <c r="H103" i="29"/>
  <c r="E103" i="29"/>
  <c r="H102" i="29"/>
  <c r="H121" i="29" s="1"/>
  <c r="E102" i="29"/>
  <c r="G98" i="29"/>
  <c r="F98" i="29"/>
  <c r="I95" i="29"/>
  <c r="G95" i="29"/>
  <c r="F95" i="29"/>
  <c r="G94" i="29"/>
  <c r="D91" i="29"/>
  <c r="G91" i="29" s="1"/>
  <c r="G88" i="29"/>
  <c r="F88" i="29"/>
  <c r="I87" i="29"/>
  <c r="G87" i="29"/>
  <c r="F87" i="29"/>
  <c r="G86" i="29"/>
  <c r="F86" i="29"/>
  <c r="I85" i="29"/>
  <c r="G85" i="29"/>
  <c r="F85" i="29"/>
  <c r="I84" i="29"/>
  <c r="G84" i="29"/>
  <c r="F84" i="29"/>
  <c r="I83" i="29"/>
  <c r="G83" i="29"/>
  <c r="F83" i="29"/>
  <c r="I82" i="29"/>
  <c r="G82" i="29"/>
  <c r="F82" i="29"/>
  <c r="I81" i="29"/>
  <c r="G81" i="29"/>
  <c r="F81" i="29"/>
  <c r="I80" i="29"/>
  <c r="G80" i="29"/>
  <c r="F80" i="29"/>
  <c r="I79" i="29"/>
  <c r="G79" i="29"/>
  <c r="F79" i="29"/>
  <c r="I78" i="29"/>
  <c r="G78" i="29"/>
  <c r="I77" i="29"/>
  <c r="G77" i="29"/>
  <c r="I76" i="29"/>
  <c r="G76" i="29"/>
  <c r="F76" i="29"/>
  <c r="I75" i="29"/>
  <c r="G75" i="29"/>
  <c r="F75" i="29"/>
  <c r="I74" i="29"/>
  <c r="G74" i="29"/>
  <c r="F74" i="29"/>
  <c r="H73" i="29"/>
  <c r="E73" i="29"/>
  <c r="I73" i="29" s="1"/>
  <c r="D73" i="29"/>
  <c r="H72" i="29"/>
  <c r="H89" i="29" s="1"/>
  <c r="H92" i="29" s="1"/>
  <c r="H96" i="29" s="1"/>
  <c r="H35" i="29" s="1"/>
  <c r="E72" i="29"/>
  <c r="E89" i="29" s="1"/>
  <c r="D72" i="29"/>
  <c r="I71" i="29"/>
  <c r="G71" i="29"/>
  <c r="F71" i="29"/>
  <c r="M70" i="29"/>
  <c r="I70" i="29"/>
  <c r="G70" i="29"/>
  <c r="F70" i="29"/>
  <c r="I68" i="29"/>
  <c r="G68" i="29"/>
  <c r="F68" i="29"/>
  <c r="I67" i="29"/>
  <c r="G67" i="29"/>
  <c r="F67" i="29"/>
  <c r="I65" i="29"/>
  <c r="G65" i="29"/>
  <c r="F65" i="29"/>
  <c r="I64" i="29"/>
  <c r="I63" i="29"/>
  <c r="I62" i="29"/>
  <c r="G62" i="29"/>
  <c r="F62" i="29"/>
  <c r="I61" i="29"/>
  <c r="G61" i="29"/>
  <c r="F61" i="29"/>
  <c r="I60" i="29"/>
  <c r="F60" i="29"/>
  <c r="I59" i="29"/>
  <c r="G59" i="29"/>
  <c r="F59" i="29"/>
  <c r="I53" i="29"/>
  <c r="I52" i="29"/>
  <c r="H49" i="29"/>
  <c r="I49" i="29" s="1"/>
  <c r="E49" i="29"/>
  <c r="G49" i="29" s="1"/>
  <c r="D49" i="29"/>
  <c r="I46" i="29"/>
  <c r="G46" i="29"/>
  <c r="G44" i="29"/>
  <c r="G43" i="29"/>
  <c r="G42" i="29"/>
  <c r="G41" i="29"/>
  <c r="G40" i="29"/>
  <c r="H39" i="29"/>
  <c r="I39" i="29" s="1"/>
  <c r="E39" i="29"/>
  <c r="D39" i="29"/>
  <c r="F39" i="29" s="1"/>
  <c r="G38" i="29"/>
  <c r="G34" i="29"/>
  <c r="I32" i="29"/>
  <c r="I31" i="29"/>
  <c r="G31" i="29"/>
  <c r="I29" i="29"/>
  <c r="G29" i="29"/>
  <c r="F29" i="29"/>
  <c r="I28" i="29"/>
  <c r="G28" i="29"/>
  <c r="F28" i="29"/>
  <c r="H27" i="29"/>
  <c r="I27" i="29" s="1"/>
  <c r="G27" i="29"/>
  <c r="F27" i="29"/>
  <c r="I26" i="29"/>
  <c r="G26" i="29"/>
  <c r="F26" i="29"/>
  <c r="I25" i="29"/>
  <c r="G25" i="29"/>
  <c r="F25" i="29"/>
  <c r="I23" i="29"/>
  <c r="G23" i="29"/>
  <c r="I22" i="29"/>
  <c r="G22" i="29"/>
  <c r="F22" i="29"/>
  <c r="I21" i="29"/>
  <c r="G21" i="29"/>
  <c r="F21" i="29"/>
  <c r="I20" i="29"/>
  <c r="H19" i="29"/>
  <c r="E19" i="29"/>
  <c r="I19" i="29" s="1"/>
  <c r="D19" i="29"/>
  <c r="I18" i="29"/>
  <c r="G18" i="29"/>
  <c r="F18" i="29"/>
  <c r="I17" i="29"/>
  <c r="G17" i="29"/>
  <c r="F17" i="29"/>
  <c r="I16" i="29"/>
  <c r="G16" i="29"/>
  <c r="F16" i="29"/>
  <c r="I15" i="29"/>
  <c r="H14" i="29"/>
  <c r="E14" i="29"/>
  <c r="I14" i="29" s="1"/>
  <c r="D14" i="29"/>
  <c r="I13" i="29"/>
  <c r="F13" i="29"/>
  <c r="E13" i="29"/>
  <c r="G13" i="29" s="1"/>
  <c r="I12" i="29"/>
  <c r="G12" i="29"/>
  <c r="F12" i="29"/>
  <c r="I11" i="29"/>
  <c r="H10" i="29"/>
  <c r="E10" i="29"/>
  <c r="I10" i="29" s="1"/>
  <c r="D10" i="29"/>
  <c r="I9" i="29"/>
  <c r="G9" i="29"/>
  <c r="F9" i="29"/>
  <c r="I8" i="29"/>
  <c r="G8" i="29"/>
  <c r="F8" i="29"/>
  <c r="I7" i="29"/>
  <c r="G7" i="29"/>
  <c r="F7" i="29"/>
  <c r="H5" i="29"/>
  <c r="I5" i="29" s="1"/>
  <c r="E5" i="29"/>
  <c r="G5" i="29" s="1"/>
  <c r="D5" i="29"/>
  <c r="F5" i="29" s="1"/>
  <c r="H33" i="28"/>
  <c r="D117" i="28"/>
  <c r="E102" i="28"/>
  <c r="D103" i="28"/>
  <c r="E19" i="28"/>
  <c r="D19" i="28"/>
  <c r="E13" i="28"/>
  <c r="D113" i="28"/>
  <c r="H130" i="28"/>
  <c r="H128" i="28"/>
  <c r="H125" i="28"/>
  <c r="H118" i="28"/>
  <c r="H113" i="28" s="1"/>
  <c r="H107" i="28"/>
  <c r="H103" i="28"/>
  <c r="H102" i="28"/>
  <c r="H73" i="28"/>
  <c r="H72" i="28"/>
  <c r="H89" i="28" s="1"/>
  <c r="H92" i="28" s="1"/>
  <c r="H96" i="28" s="1"/>
  <c r="H35" i="28" s="1"/>
  <c r="H37" i="28" s="1"/>
  <c r="H39" i="28"/>
  <c r="H27" i="28"/>
  <c r="H19" i="28"/>
  <c r="H14" i="28"/>
  <c r="H10" i="28"/>
  <c r="H5" i="28"/>
  <c r="B167" i="28"/>
  <c r="G165" i="28"/>
  <c r="E159" i="28"/>
  <c r="I159" i="28" s="1"/>
  <c r="E158" i="28"/>
  <c r="I158" i="28" s="1"/>
  <c r="E157" i="28"/>
  <c r="I157" i="28" s="1"/>
  <c r="E156" i="28"/>
  <c r="I156" i="28" s="1"/>
  <c r="E155" i="28"/>
  <c r="I155" i="28" s="1"/>
  <c r="E154" i="28"/>
  <c r="E153" i="28"/>
  <c r="I152" i="28"/>
  <c r="G152" i="28"/>
  <c r="I151" i="28"/>
  <c r="G151" i="28"/>
  <c r="F151" i="28"/>
  <c r="G150" i="28"/>
  <c r="F150" i="28"/>
  <c r="G149" i="28"/>
  <c r="F149" i="28"/>
  <c r="I148" i="28"/>
  <c r="G148" i="28"/>
  <c r="I147" i="28"/>
  <c r="G147" i="28"/>
  <c r="I146" i="28"/>
  <c r="G146" i="28"/>
  <c r="G145" i="28"/>
  <c r="I144" i="28"/>
  <c r="G144" i="28"/>
  <c r="I143" i="28"/>
  <c r="G143" i="28"/>
  <c r="I141" i="28"/>
  <c r="G141" i="28"/>
  <c r="I140" i="28"/>
  <c r="G140" i="28"/>
  <c r="I139" i="28"/>
  <c r="G139" i="28"/>
  <c r="I138" i="28"/>
  <c r="G138" i="28"/>
  <c r="I137" i="28"/>
  <c r="G137" i="28"/>
  <c r="I136" i="28"/>
  <c r="G136" i="28"/>
  <c r="I135" i="28"/>
  <c r="G135" i="28"/>
  <c r="G134" i="28"/>
  <c r="I133" i="28"/>
  <c r="G133" i="28"/>
  <c r="G132" i="28"/>
  <c r="I131" i="28"/>
  <c r="G131" i="28"/>
  <c r="I130" i="28"/>
  <c r="I129" i="28"/>
  <c r="G129" i="28"/>
  <c r="F129" i="28"/>
  <c r="I128" i="28"/>
  <c r="F128" i="28"/>
  <c r="G128" i="28"/>
  <c r="I127" i="28"/>
  <c r="G127" i="28"/>
  <c r="F127" i="28"/>
  <c r="G126" i="28"/>
  <c r="D125" i="28"/>
  <c r="I120" i="28"/>
  <c r="F120" i="28"/>
  <c r="G120" i="28"/>
  <c r="M119" i="28"/>
  <c r="I119" i="28"/>
  <c r="G119" i="28"/>
  <c r="F119" i="28"/>
  <c r="I118" i="28"/>
  <c r="I117" i="28"/>
  <c r="F117" i="28"/>
  <c r="I116" i="28"/>
  <c r="G116" i="28"/>
  <c r="I115" i="28"/>
  <c r="G115" i="28"/>
  <c r="E113" i="28"/>
  <c r="I112" i="28"/>
  <c r="G112" i="28"/>
  <c r="F112" i="28"/>
  <c r="I111" i="28"/>
  <c r="G111" i="28"/>
  <c r="F111" i="28"/>
  <c r="I110" i="28"/>
  <c r="G110" i="28"/>
  <c r="F110" i="28"/>
  <c r="I109" i="28"/>
  <c r="G109" i="28"/>
  <c r="F109" i="28"/>
  <c r="I108" i="28"/>
  <c r="G108" i="28"/>
  <c r="E107" i="28"/>
  <c r="D107" i="28"/>
  <c r="I106" i="28"/>
  <c r="G106" i="28"/>
  <c r="I105" i="28"/>
  <c r="G105" i="28"/>
  <c r="E103" i="28"/>
  <c r="G98" i="28"/>
  <c r="F98" i="28"/>
  <c r="I95" i="28"/>
  <c r="G95" i="28"/>
  <c r="F95" i="28"/>
  <c r="G94" i="28"/>
  <c r="G91" i="28"/>
  <c r="D91" i="28"/>
  <c r="G88" i="28"/>
  <c r="F88" i="28"/>
  <c r="I87" i="28"/>
  <c r="G87" i="28"/>
  <c r="F87" i="28"/>
  <c r="G86" i="28"/>
  <c r="F86" i="28"/>
  <c r="I85" i="28"/>
  <c r="G85" i="28"/>
  <c r="F85" i="28"/>
  <c r="I84" i="28"/>
  <c r="G84" i="28"/>
  <c r="F84" i="28"/>
  <c r="I83" i="28"/>
  <c r="G83" i="28"/>
  <c r="F83" i="28"/>
  <c r="I82" i="28"/>
  <c r="G82" i="28"/>
  <c r="F82" i="28"/>
  <c r="I81" i="28"/>
  <c r="G81" i="28"/>
  <c r="F81" i="28"/>
  <c r="I80" i="28"/>
  <c r="G80" i="28"/>
  <c r="F80" i="28"/>
  <c r="I79" i="28"/>
  <c r="G79" i="28"/>
  <c r="F79" i="28"/>
  <c r="G78" i="28"/>
  <c r="I77" i="28"/>
  <c r="G77" i="28"/>
  <c r="I76" i="28"/>
  <c r="G76" i="28"/>
  <c r="F76" i="28"/>
  <c r="I75" i="28"/>
  <c r="G75" i="28"/>
  <c r="F75" i="28"/>
  <c r="I74" i="28"/>
  <c r="G74" i="28"/>
  <c r="F74" i="28"/>
  <c r="E73" i="28"/>
  <c r="I73" i="28" s="1"/>
  <c r="D73" i="28"/>
  <c r="E72" i="28"/>
  <c r="D72" i="28"/>
  <c r="D89" i="28" s="1"/>
  <c r="D92" i="28" s="1"/>
  <c r="I71" i="28"/>
  <c r="G71" i="28"/>
  <c r="F71" i="28"/>
  <c r="M70" i="28"/>
  <c r="I70" i="28"/>
  <c r="G70" i="28"/>
  <c r="F70" i="28"/>
  <c r="I68" i="28"/>
  <c r="G68" i="28"/>
  <c r="F68" i="28"/>
  <c r="I67" i="28"/>
  <c r="G67" i="28"/>
  <c r="F67" i="28"/>
  <c r="I65" i="28"/>
  <c r="G65" i="28"/>
  <c r="F65" i="28"/>
  <c r="I64" i="28"/>
  <c r="I63" i="28"/>
  <c r="I62" i="28"/>
  <c r="G62" i="28"/>
  <c r="F62" i="28"/>
  <c r="I61" i="28"/>
  <c r="G61" i="28"/>
  <c r="F61" i="28"/>
  <c r="I60" i="28"/>
  <c r="F60" i="28"/>
  <c r="I59" i="28"/>
  <c r="G59" i="28"/>
  <c r="F59" i="28"/>
  <c r="I53" i="28"/>
  <c r="I52" i="28"/>
  <c r="H49" i="28"/>
  <c r="I49" i="28" s="1"/>
  <c r="F49" i="28"/>
  <c r="E49" i="28"/>
  <c r="G49" i="28" s="1"/>
  <c r="D49" i="28"/>
  <c r="I46" i="28"/>
  <c r="G46" i="28"/>
  <c r="G44" i="28"/>
  <c r="G43" i="28"/>
  <c r="G42" i="28"/>
  <c r="G41" i="28"/>
  <c r="G40" i="28"/>
  <c r="E39" i="28"/>
  <c r="D39" i="28"/>
  <c r="G38" i="28"/>
  <c r="G34" i="28"/>
  <c r="I32" i="28"/>
  <c r="I31" i="28"/>
  <c r="G31" i="28"/>
  <c r="I29" i="28"/>
  <c r="G29" i="28"/>
  <c r="F29" i="28"/>
  <c r="I28" i="28"/>
  <c r="G28" i="28"/>
  <c r="F28" i="28"/>
  <c r="I27" i="28"/>
  <c r="F27" i="28"/>
  <c r="G27" i="28"/>
  <c r="I26" i="28"/>
  <c r="G26" i="28"/>
  <c r="F26" i="28"/>
  <c r="I25" i="28"/>
  <c r="G25" i="28"/>
  <c r="F25" i="28"/>
  <c r="I23" i="28"/>
  <c r="G23" i="28"/>
  <c r="I22" i="28"/>
  <c r="G22" i="28"/>
  <c r="F22" i="28"/>
  <c r="I21" i="28"/>
  <c r="G21" i="28"/>
  <c r="F21" i="28"/>
  <c r="I20" i="28"/>
  <c r="I19" i="28"/>
  <c r="I18" i="28"/>
  <c r="G18" i="28"/>
  <c r="F18" i="28"/>
  <c r="I17" i="28"/>
  <c r="G17" i="28"/>
  <c r="F17" i="28"/>
  <c r="I16" i="28"/>
  <c r="G16" i="28"/>
  <c r="F16" i="28"/>
  <c r="I15" i="28"/>
  <c r="E14" i="28"/>
  <c r="D14" i="28"/>
  <c r="I13" i="28"/>
  <c r="G13" i="28"/>
  <c r="F13" i="28"/>
  <c r="I12" i="28"/>
  <c r="G12" i="28"/>
  <c r="F12" i="28"/>
  <c r="I11" i="28"/>
  <c r="E10" i="28"/>
  <c r="D10" i="28"/>
  <c r="I9" i="28"/>
  <c r="G9" i="28"/>
  <c r="F9" i="28"/>
  <c r="I8" i="28"/>
  <c r="G8" i="28"/>
  <c r="F8" i="28"/>
  <c r="I7" i="28"/>
  <c r="G7" i="28"/>
  <c r="F7" i="28"/>
  <c r="E5" i="28"/>
  <c r="D5" i="28"/>
  <c r="F107" i="29" l="1"/>
  <c r="I107" i="29"/>
  <c r="E121" i="29"/>
  <c r="I121" i="29" s="1"/>
  <c r="F113" i="29"/>
  <c r="G107" i="29"/>
  <c r="G39" i="29"/>
  <c r="I125" i="29"/>
  <c r="M72" i="29"/>
  <c r="M73" i="29" s="1"/>
  <c r="E92" i="29"/>
  <c r="I89" i="29"/>
  <c r="L118" i="29"/>
  <c r="H37" i="29"/>
  <c r="H33" i="29"/>
  <c r="F10" i="29"/>
  <c r="F14" i="29"/>
  <c r="F19" i="29"/>
  <c r="F49" i="29"/>
  <c r="G72" i="29"/>
  <c r="I72" i="29"/>
  <c r="F73" i="29"/>
  <c r="D89" i="29"/>
  <c r="D92" i="29" s="1"/>
  <c r="I102" i="29"/>
  <c r="G113" i="29"/>
  <c r="F117" i="29"/>
  <c r="G125" i="29"/>
  <c r="G10" i="29"/>
  <c r="G14" i="29"/>
  <c r="G19" i="29"/>
  <c r="F72" i="29"/>
  <c r="G73" i="29"/>
  <c r="G39" i="28"/>
  <c r="G14" i="28"/>
  <c r="G5" i="28"/>
  <c r="G10" i="28"/>
  <c r="M72" i="28"/>
  <c r="M73" i="28" s="1"/>
  <c r="H121" i="28"/>
  <c r="G107" i="28"/>
  <c r="F39" i="28"/>
  <c r="I39" i="28"/>
  <c r="F107" i="28"/>
  <c r="I107" i="28"/>
  <c r="E89" i="28"/>
  <c r="G89" i="28" s="1"/>
  <c r="F14" i="28"/>
  <c r="I14" i="28"/>
  <c r="F10" i="28"/>
  <c r="I10" i="28"/>
  <c r="F5" i="28"/>
  <c r="I5" i="28"/>
  <c r="I113" i="28"/>
  <c r="D93" i="28"/>
  <c r="D102" i="28" s="1"/>
  <c r="D121" i="28" s="1"/>
  <c r="E121" i="28"/>
  <c r="I102" i="28"/>
  <c r="G19" i="28"/>
  <c r="G72" i="28"/>
  <c r="G73" i="28"/>
  <c r="G117" i="28"/>
  <c r="G118" i="28"/>
  <c r="G130" i="28"/>
  <c r="F19" i="28"/>
  <c r="F72" i="28"/>
  <c r="I72" i="28"/>
  <c r="F73" i="28"/>
  <c r="F113" i="28"/>
  <c r="F118" i="28"/>
  <c r="E125" i="28"/>
  <c r="F130" i="28"/>
  <c r="D96" i="29" l="1"/>
  <c r="D37" i="29" s="1"/>
  <c r="D35" i="29" s="1"/>
  <c r="D33" i="29" s="1"/>
  <c r="D93" i="29"/>
  <c r="D103" i="29" s="1"/>
  <c r="D102" i="29" s="1"/>
  <c r="F89" i="29"/>
  <c r="G89" i="29"/>
  <c r="I92" i="29"/>
  <c r="G92" i="29"/>
  <c r="E96" i="29"/>
  <c r="F92" i="29"/>
  <c r="F102" i="28"/>
  <c r="F89" i="28"/>
  <c r="E92" i="28"/>
  <c r="I92" i="28" s="1"/>
  <c r="I89" i="28"/>
  <c r="G113" i="28"/>
  <c r="I121" i="28"/>
  <c r="L118" i="28"/>
  <c r="F121" i="28"/>
  <c r="G125" i="28"/>
  <c r="I125" i="28"/>
  <c r="F125" i="28"/>
  <c r="G102" i="28"/>
  <c r="D96" i="28"/>
  <c r="D35" i="28" s="1"/>
  <c r="D33" i="28" s="1"/>
  <c r="F96" i="29" l="1"/>
  <c r="I96" i="29"/>
  <c r="G96" i="29"/>
  <c r="E35" i="29"/>
  <c r="D121" i="29"/>
  <c r="F102" i="29"/>
  <c r="G102" i="29"/>
  <c r="G92" i="28"/>
  <c r="F92" i="28"/>
  <c r="E96" i="28"/>
  <c r="I96" i="28" s="1"/>
  <c r="G121" i="28"/>
  <c r="F121" i="29" l="1"/>
  <c r="G121" i="29"/>
  <c r="E37" i="29"/>
  <c r="G35" i="29"/>
  <c r="E33" i="29"/>
  <c r="I35" i="29"/>
  <c r="G96" i="28"/>
  <c r="F96" i="28"/>
  <c r="E35" i="28"/>
  <c r="G33" i="29" l="1"/>
  <c r="F33" i="29"/>
  <c r="I33" i="29"/>
  <c r="G37" i="29"/>
  <c r="F37" i="29"/>
  <c r="I37" i="29"/>
  <c r="G35" i="28"/>
  <c r="I35" i="28"/>
  <c r="E33" i="28"/>
  <c r="G33" i="28" s="1"/>
  <c r="G37" i="28"/>
  <c r="I37" i="28"/>
  <c r="F37" i="28"/>
  <c r="I33" i="28" l="1"/>
  <c r="F33" i="28"/>
  <c r="I70" i="27"/>
  <c r="D106" i="27" l="1"/>
  <c r="E103" i="27"/>
  <c r="D117" i="27"/>
  <c r="D109" i="27"/>
  <c r="D103" i="27"/>
  <c r="D93" i="27"/>
  <c r="D78" i="27"/>
  <c r="B166" i="27" l="1"/>
  <c r="G164" i="27"/>
  <c r="E158" i="27"/>
  <c r="I158" i="27" s="1"/>
  <c r="E157" i="27"/>
  <c r="I157" i="27" s="1"/>
  <c r="E156" i="27"/>
  <c r="I156" i="27" s="1"/>
  <c r="E155" i="27"/>
  <c r="I155" i="27" s="1"/>
  <c r="E154" i="27"/>
  <c r="I154" i="27" s="1"/>
  <c r="E153" i="27"/>
  <c r="E152" i="27"/>
  <c r="I151" i="27"/>
  <c r="G151" i="27"/>
  <c r="I150" i="27"/>
  <c r="G150" i="27"/>
  <c r="G149" i="27"/>
  <c r="G148" i="27"/>
  <c r="I147" i="27"/>
  <c r="G147" i="27"/>
  <c r="I146" i="27"/>
  <c r="G146" i="27"/>
  <c r="I145" i="27"/>
  <c r="G145" i="27"/>
  <c r="G144" i="27"/>
  <c r="I143" i="27"/>
  <c r="G143" i="27"/>
  <c r="I142" i="27"/>
  <c r="G142" i="27"/>
  <c r="I141" i="27"/>
  <c r="G141" i="27"/>
  <c r="I140" i="27"/>
  <c r="G140" i="27"/>
  <c r="I139" i="27"/>
  <c r="G139" i="27"/>
  <c r="I138" i="27"/>
  <c r="G138" i="27"/>
  <c r="I137" i="27"/>
  <c r="G137" i="27"/>
  <c r="I136" i="27"/>
  <c r="G136" i="27"/>
  <c r="I135" i="27"/>
  <c r="G135" i="27"/>
  <c r="G134" i="27"/>
  <c r="I133" i="27"/>
  <c r="G133" i="27"/>
  <c r="G132" i="27"/>
  <c r="I131" i="27"/>
  <c r="G131" i="27"/>
  <c r="I130" i="27"/>
  <c r="G130" i="27"/>
  <c r="F130" i="27"/>
  <c r="I129" i="27"/>
  <c r="G129" i="27"/>
  <c r="F129" i="27"/>
  <c r="I128" i="27"/>
  <c r="I127" i="27"/>
  <c r="G127" i="27"/>
  <c r="F127" i="27"/>
  <c r="G126" i="27"/>
  <c r="E125" i="27"/>
  <c r="I125" i="27" s="1"/>
  <c r="D125" i="27"/>
  <c r="I120" i="27"/>
  <c r="D120" i="27"/>
  <c r="G120" i="27" s="1"/>
  <c r="M119" i="27"/>
  <c r="I119" i="27"/>
  <c r="G119" i="27"/>
  <c r="F119" i="27"/>
  <c r="I118" i="27"/>
  <c r="F118" i="27"/>
  <c r="G118" i="27"/>
  <c r="I117" i="27"/>
  <c r="G117" i="27"/>
  <c r="I116" i="27"/>
  <c r="G116" i="27"/>
  <c r="I115" i="27"/>
  <c r="G115" i="27"/>
  <c r="E113" i="27"/>
  <c r="I113" i="27" s="1"/>
  <c r="D113" i="27"/>
  <c r="I112" i="27"/>
  <c r="G112" i="27"/>
  <c r="F112" i="27"/>
  <c r="I111" i="27"/>
  <c r="G111" i="27"/>
  <c r="F111" i="27"/>
  <c r="I110" i="27"/>
  <c r="G110" i="27"/>
  <c r="F110" i="27"/>
  <c r="I109" i="27"/>
  <c r="G109" i="27"/>
  <c r="F109" i="27"/>
  <c r="I108" i="27"/>
  <c r="G108" i="27"/>
  <c r="E107" i="27"/>
  <c r="I107" i="27" s="1"/>
  <c r="D107" i="27"/>
  <c r="I106" i="27"/>
  <c r="G106" i="27"/>
  <c r="F106" i="27"/>
  <c r="I105" i="27"/>
  <c r="G105" i="27"/>
  <c r="E102" i="27"/>
  <c r="D102" i="27"/>
  <c r="G98" i="27"/>
  <c r="F98" i="27"/>
  <c r="I95" i="27"/>
  <c r="G95" i="27"/>
  <c r="F95" i="27"/>
  <c r="I94" i="27"/>
  <c r="G94" i="27"/>
  <c r="F94" i="27"/>
  <c r="D91" i="27"/>
  <c r="G91" i="27" s="1"/>
  <c r="G88" i="27"/>
  <c r="F88" i="27"/>
  <c r="I87" i="27"/>
  <c r="G87" i="27"/>
  <c r="F87" i="27"/>
  <c r="G86" i="27"/>
  <c r="F86" i="27"/>
  <c r="I85" i="27"/>
  <c r="G85" i="27"/>
  <c r="F85" i="27"/>
  <c r="I84" i="27"/>
  <c r="G84" i="27"/>
  <c r="F84" i="27"/>
  <c r="I83" i="27"/>
  <c r="G83" i="27"/>
  <c r="F83" i="27"/>
  <c r="I82" i="27"/>
  <c r="G82" i="27"/>
  <c r="F82" i="27"/>
  <c r="I81" i="27"/>
  <c r="G81" i="27"/>
  <c r="F81" i="27"/>
  <c r="I80" i="27"/>
  <c r="G80" i="27"/>
  <c r="F80" i="27"/>
  <c r="I79" i="27"/>
  <c r="G79" i="27"/>
  <c r="F79" i="27"/>
  <c r="I78" i="27"/>
  <c r="G78" i="27"/>
  <c r="F78" i="27"/>
  <c r="I77" i="27"/>
  <c r="G77" i="27"/>
  <c r="I76" i="27"/>
  <c r="G76" i="27"/>
  <c r="F76" i="27"/>
  <c r="I75" i="27"/>
  <c r="G75" i="27"/>
  <c r="F75" i="27"/>
  <c r="I74" i="27"/>
  <c r="G74" i="27"/>
  <c r="F74" i="27"/>
  <c r="E73" i="27"/>
  <c r="D73" i="27"/>
  <c r="D72" i="27"/>
  <c r="I71" i="27"/>
  <c r="G71" i="27"/>
  <c r="F71" i="27"/>
  <c r="M70" i="27"/>
  <c r="E72" i="27"/>
  <c r="I68" i="27"/>
  <c r="G68" i="27"/>
  <c r="F68" i="27"/>
  <c r="I67" i="27"/>
  <c r="G67" i="27"/>
  <c r="F67" i="27"/>
  <c r="I65" i="27"/>
  <c r="G65" i="27"/>
  <c r="F65" i="27"/>
  <c r="I64" i="27"/>
  <c r="I63" i="27"/>
  <c r="I62" i="27"/>
  <c r="G62" i="27"/>
  <c r="F62" i="27"/>
  <c r="I61" i="27"/>
  <c r="G61" i="27"/>
  <c r="F61" i="27"/>
  <c r="I60" i="27"/>
  <c r="F60" i="27"/>
  <c r="I59" i="27"/>
  <c r="G59" i="27"/>
  <c r="F59" i="27"/>
  <c r="I53" i="27"/>
  <c r="I52" i="27"/>
  <c r="H49" i="27"/>
  <c r="I49" i="27" s="1"/>
  <c r="F49" i="27"/>
  <c r="E49" i="27"/>
  <c r="G49" i="27" s="1"/>
  <c r="D49" i="27"/>
  <c r="I46" i="27"/>
  <c r="G46" i="27"/>
  <c r="G44" i="27"/>
  <c r="G43" i="27"/>
  <c r="G42" i="27"/>
  <c r="G41" i="27"/>
  <c r="G40" i="27"/>
  <c r="E39" i="27"/>
  <c r="I39" i="27" s="1"/>
  <c r="D39" i="27"/>
  <c r="G34" i="27"/>
  <c r="H32" i="27"/>
  <c r="I32" i="27" s="1"/>
  <c r="I31" i="27"/>
  <c r="G31" i="27"/>
  <c r="I29" i="27"/>
  <c r="G29" i="27"/>
  <c r="F29" i="27"/>
  <c r="I28" i="27"/>
  <c r="G28" i="27"/>
  <c r="F28" i="27"/>
  <c r="I27" i="27"/>
  <c r="G27" i="27"/>
  <c r="F27" i="27"/>
  <c r="I26" i="27"/>
  <c r="G26" i="27"/>
  <c r="F26" i="27"/>
  <c r="I25" i="27"/>
  <c r="G25" i="27"/>
  <c r="F25" i="27"/>
  <c r="I23" i="27"/>
  <c r="G23" i="27"/>
  <c r="I22" i="27"/>
  <c r="G22" i="27"/>
  <c r="F22" i="27"/>
  <c r="I21" i="27"/>
  <c r="G21" i="27"/>
  <c r="F21" i="27"/>
  <c r="I20" i="27"/>
  <c r="H19" i="27"/>
  <c r="E19" i="27"/>
  <c r="D19" i="27"/>
  <c r="I18" i="27"/>
  <c r="G18" i="27"/>
  <c r="F18" i="27"/>
  <c r="I17" i="27"/>
  <c r="G17" i="27"/>
  <c r="F17" i="27"/>
  <c r="I16" i="27"/>
  <c r="G16" i="27"/>
  <c r="F16" i="27"/>
  <c r="I15" i="27"/>
  <c r="H14" i="27"/>
  <c r="E14" i="27"/>
  <c r="F14" i="27" s="1"/>
  <c r="D14" i="27"/>
  <c r="I13" i="27"/>
  <c r="G13" i="27"/>
  <c r="F13" i="27"/>
  <c r="I12" i="27"/>
  <c r="G12" i="27"/>
  <c r="F12" i="27"/>
  <c r="I11" i="27"/>
  <c r="H10" i="27"/>
  <c r="E10" i="27"/>
  <c r="D10" i="27"/>
  <c r="I9" i="27"/>
  <c r="G9" i="27"/>
  <c r="F9" i="27"/>
  <c r="I8" i="27"/>
  <c r="G8" i="27"/>
  <c r="F8" i="27"/>
  <c r="I7" i="27"/>
  <c r="G7" i="27"/>
  <c r="F7" i="27"/>
  <c r="H5" i="27"/>
  <c r="E5" i="27"/>
  <c r="D5" i="27"/>
  <c r="F39" i="27" l="1"/>
  <c r="E121" i="27"/>
  <c r="I121" i="27" s="1"/>
  <c r="F107" i="27"/>
  <c r="F19" i="27"/>
  <c r="G10" i="27"/>
  <c r="F5" i="27"/>
  <c r="G39" i="27"/>
  <c r="G107" i="27"/>
  <c r="D89" i="27"/>
  <c r="D92" i="27" s="1"/>
  <c r="F73" i="27"/>
  <c r="D121" i="27"/>
  <c r="F121" i="27" s="1"/>
  <c r="F117" i="27"/>
  <c r="F120" i="27"/>
  <c r="F10" i="27"/>
  <c r="I10" i="27"/>
  <c r="E89" i="27"/>
  <c r="I72" i="27"/>
  <c r="G72" i="27"/>
  <c r="F72" i="27"/>
  <c r="G5" i="27"/>
  <c r="G14" i="27"/>
  <c r="I14" i="27"/>
  <c r="G19" i="27"/>
  <c r="I19" i="27"/>
  <c r="G70" i="27"/>
  <c r="M72" i="27"/>
  <c r="M73" i="27" s="1"/>
  <c r="G73" i="27"/>
  <c r="I73" i="27"/>
  <c r="F102" i="27"/>
  <c r="F113" i="27"/>
  <c r="F125" i="27"/>
  <c r="F128" i="27"/>
  <c r="I5" i="27"/>
  <c r="F70" i="27"/>
  <c r="G102" i="27"/>
  <c r="I102" i="27"/>
  <c r="G113" i="27"/>
  <c r="G125" i="27"/>
  <c r="G128" i="27"/>
  <c r="G121" i="27" l="1"/>
  <c r="D96" i="27"/>
  <c r="D38" i="27" s="1"/>
  <c r="H33" i="27"/>
  <c r="E92" i="27"/>
  <c r="E96" i="27" s="1"/>
  <c r="I89" i="27"/>
  <c r="G89" i="27"/>
  <c r="F89" i="27"/>
  <c r="G38" i="27" l="1"/>
  <c r="D35" i="27"/>
  <c r="D33" i="27" s="1"/>
  <c r="I92" i="27"/>
  <c r="G92" i="27"/>
  <c r="F92" i="27"/>
  <c r="I96" i="27" l="1"/>
  <c r="G96" i="27"/>
  <c r="F96" i="27"/>
  <c r="E37" i="27"/>
  <c r="E35" i="27" s="1"/>
  <c r="G35" i="27" l="1"/>
  <c r="E33" i="27"/>
  <c r="I35" i="27"/>
  <c r="G33" i="27" l="1"/>
  <c r="I33" i="27"/>
  <c r="E108" i="17" l="1"/>
  <c r="E78" i="17"/>
  <c r="E71" i="17"/>
  <c r="E70" i="17"/>
  <c r="D39" i="17" l="1"/>
  <c r="F105" i="17" l="1"/>
  <c r="F104" i="17"/>
  <c r="D22" i="13" l="1"/>
  <c r="D21" i="13"/>
  <c r="D18" i="13"/>
  <c r="D17" i="13"/>
  <c r="D16" i="13"/>
  <c r="D9" i="13"/>
  <c r="D8" i="13"/>
  <c r="D7" i="13"/>
  <c r="E72" i="17" l="1"/>
  <c r="E73" i="17"/>
  <c r="D117" i="13"/>
  <c r="I104" i="13" l="1"/>
  <c r="I105" i="13"/>
  <c r="I106" i="13"/>
  <c r="G149" i="26" l="1"/>
  <c r="G150" i="26"/>
  <c r="G151" i="26"/>
  <c r="G152" i="26"/>
  <c r="G148" i="26"/>
  <c r="F149" i="26"/>
  <c r="F150" i="26"/>
  <c r="F151" i="26"/>
  <c r="F152" i="26"/>
  <c r="F148" i="26"/>
  <c r="E130" i="26" l="1"/>
  <c r="E128" i="26"/>
  <c r="E118" i="26"/>
  <c r="E72" i="26" l="1"/>
  <c r="G72" i="26" s="1"/>
  <c r="D72" i="26"/>
  <c r="E27" i="26"/>
  <c r="I27" i="26" s="1"/>
  <c r="B167" i="26"/>
  <c r="G165" i="26"/>
  <c r="E159" i="26"/>
  <c r="I159" i="26" s="1"/>
  <c r="E158" i="26"/>
  <c r="I158" i="26" s="1"/>
  <c r="E157" i="26"/>
  <c r="I157" i="26" s="1"/>
  <c r="E156" i="26"/>
  <c r="I156" i="26" s="1"/>
  <c r="E155" i="26"/>
  <c r="I155" i="26" s="1"/>
  <c r="E154" i="26"/>
  <c r="E153" i="26"/>
  <c r="I152" i="26"/>
  <c r="I151" i="26"/>
  <c r="I148" i="26"/>
  <c r="I147" i="26"/>
  <c r="G147" i="26"/>
  <c r="I146" i="26"/>
  <c r="G146" i="26"/>
  <c r="G145" i="26"/>
  <c r="I144" i="26"/>
  <c r="G144" i="26"/>
  <c r="I143" i="26"/>
  <c r="G143" i="26"/>
  <c r="I141" i="26"/>
  <c r="G141" i="26"/>
  <c r="I140" i="26"/>
  <c r="G140" i="26"/>
  <c r="I139" i="26"/>
  <c r="I138" i="26"/>
  <c r="G138" i="26"/>
  <c r="I136" i="26"/>
  <c r="G136" i="26"/>
  <c r="I135" i="26"/>
  <c r="G135" i="26"/>
  <c r="G134" i="26"/>
  <c r="I133" i="26"/>
  <c r="G133" i="26"/>
  <c r="G132" i="26"/>
  <c r="I131" i="26"/>
  <c r="G131" i="26"/>
  <c r="G130" i="26"/>
  <c r="I129" i="26"/>
  <c r="G129" i="26"/>
  <c r="F129" i="26"/>
  <c r="I128" i="26"/>
  <c r="G128" i="26"/>
  <c r="F128" i="26"/>
  <c r="I127" i="26"/>
  <c r="G127" i="26"/>
  <c r="F127" i="26"/>
  <c r="G126" i="26"/>
  <c r="E125" i="26"/>
  <c r="I120" i="26"/>
  <c r="D120" i="26"/>
  <c r="G120" i="26" s="1"/>
  <c r="M119" i="26"/>
  <c r="I119" i="26"/>
  <c r="G119" i="26"/>
  <c r="F119" i="26"/>
  <c r="I118" i="26"/>
  <c r="G118" i="26"/>
  <c r="F118" i="26"/>
  <c r="I117" i="26"/>
  <c r="D117" i="26"/>
  <c r="G117" i="26" s="1"/>
  <c r="I116" i="26"/>
  <c r="G116" i="26"/>
  <c r="I115" i="26"/>
  <c r="G115" i="26"/>
  <c r="E113" i="26"/>
  <c r="I112" i="26"/>
  <c r="G112" i="26"/>
  <c r="F112" i="26"/>
  <c r="I111" i="26"/>
  <c r="G111" i="26"/>
  <c r="F111" i="26"/>
  <c r="I110" i="26"/>
  <c r="G110" i="26"/>
  <c r="F110" i="26"/>
  <c r="I109" i="26"/>
  <c r="G109" i="26"/>
  <c r="F109" i="26"/>
  <c r="I108" i="26"/>
  <c r="G108" i="26"/>
  <c r="E107" i="26"/>
  <c r="D107" i="26"/>
  <c r="I106" i="26"/>
  <c r="G106" i="26"/>
  <c r="F106" i="26"/>
  <c r="I105" i="26"/>
  <c r="G105" i="26"/>
  <c r="E103" i="26"/>
  <c r="E102" i="26" s="1"/>
  <c r="G98" i="26"/>
  <c r="F98" i="26"/>
  <c r="I95" i="26"/>
  <c r="G95" i="26"/>
  <c r="F95" i="26"/>
  <c r="G94" i="26"/>
  <c r="D91" i="26"/>
  <c r="G91" i="26" s="1"/>
  <c r="G88" i="26"/>
  <c r="F88" i="26"/>
  <c r="I87" i="26"/>
  <c r="G87" i="26"/>
  <c r="F87" i="26"/>
  <c r="G86" i="26"/>
  <c r="F86" i="26"/>
  <c r="I85" i="26"/>
  <c r="G85" i="26"/>
  <c r="F85" i="26"/>
  <c r="I84" i="26"/>
  <c r="G84" i="26"/>
  <c r="F84" i="26"/>
  <c r="I83" i="26"/>
  <c r="G83" i="26"/>
  <c r="F83" i="26"/>
  <c r="I82" i="26"/>
  <c r="G82" i="26"/>
  <c r="F82" i="26"/>
  <c r="I81" i="26"/>
  <c r="G81" i="26"/>
  <c r="F81" i="26"/>
  <c r="I80" i="26"/>
  <c r="G80" i="26"/>
  <c r="F80" i="26"/>
  <c r="I79" i="26"/>
  <c r="G79" i="26"/>
  <c r="F79" i="26"/>
  <c r="I78" i="26"/>
  <c r="G78" i="26"/>
  <c r="I77" i="26"/>
  <c r="G77" i="26"/>
  <c r="I76" i="26"/>
  <c r="G76" i="26"/>
  <c r="F76" i="26"/>
  <c r="I75" i="26"/>
  <c r="G75" i="26"/>
  <c r="F75" i="26"/>
  <c r="I74" i="26"/>
  <c r="G74" i="26"/>
  <c r="F74" i="26"/>
  <c r="E73" i="26"/>
  <c r="D73" i="26"/>
  <c r="D89" i="26" s="1"/>
  <c r="D92" i="26" s="1"/>
  <c r="I71" i="26"/>
  <c r="G71" i="26"/>
  <c r="F71" i="26"/>
  <c r="M70" i="26"/>
  <c r="I70" i="26"/>
  <c r="G70" i="26"/>
  <c r="F70" i="26"/>
  <c r="I68" i="26"/>
  <c r="G68" i="26"/>
  <c r="F68" i="26"/>
  <c r="I67" i="26"/>
  <c r="G67" i="26"/>
  <c r="F67" i="26"/>
  <c r="I65" i="26"/>
  <c r="I64" i="26"/>
  <c r="I63" i="26"/>
  <c r="I62" i="26"/>
  <c r="G62" i="26"/>
  <c r="I61" i="26"/>
  <c r="G61" i="26"/>
  <c r="F61" i="26"/>
  <c r="I60" i="26"/>
  <c r="F60" i="26"/>
  <c r="I59" i="26"/>
  <c r="G59" i="26"/>
  <c r="F59" i="26"/>
  <c r="I53" i="26"/>
  <c r="I52" i="26"/>
  <c r="H49" i="26"/>
  <c r="I49" i="26" s="1"/>
  <c r="E49" i="26"/>
  <c r="G49" i="26" s="1"/>
  <c r="D49" i="26"/>
  <c r="I46" i="26"/>
  <c r="G46" i="26"/>
  <c r="G44" i="26"/>
  <c r="G43" i="26"/>
  <c r="G42" i="26"/>
  <c r="G41" i="26"/>
  <c r="G40" i="26"/>
  <c r="E39" i="26"/>
  <c r="D39" i="26"/>
  <c r="G34" i="26"/>
  <c r="I32" i="26"/>
  <c r="I31" i="26"/>
  <c r="G31" i="26"/>
  <c r="I29" i="26"/>
  <c r="G29" i="26"/>
  <c r="F29" i="26"/>
  <c r="I28" i="26"/>
  <c r="G28" i="26"/>
  <c r="F28" i="26"/>
  <c r="G27" i="26"/>
  <c r="I26" i="26"/>
  <c r="G26" i="26"/>
  <c r="F26" i="26"/>
  <c r="I25" i="26"/>
  <c r="G25" i="26"/>
  <c r="F25" i="26"/>
  <c r="I23" i="26"/>
  <c r="G23" i="26"/>
  <c r="I22" i="26"/>
  <c r="G22" i="26"/>
  <c r="F22" i="26"/>
  <c r="I21" i="26"/>
  <c r="G21" i="26"/>
  <c r="F21" i="26"/>
  <c r="I20" i="26"/>
  <c r="E19" i="26"/>
  <c r="D19" i="26"/>
  <c r="I18" i="26"/>
  <c r="G18" i="26"/>
  <c r="F18" i="26"/>
  <c r="I17" i="26"/>
  <c r="G17" i="26"/>
  <c r="F17" i="26"/>
  <c r="I16" i="26"/>
  <c r="G16" i="26"/>
  <c r="F16" i="26"/>
  <c r="I15" i="26"/>
  <c r="E14" i="26"/>
  <c r="I14" i="26" s="1"/>
  <c r="D14" i="26"/>
  <c r="I13" i="26"/>
  <c r="G13" i="26"/>
  <c r="F13" i="26"/>
  <c r="I12" i="26"/>
  <c r="G12" i="26"/>
  <c r="F12" i="26"/>
  <c r="I11" i="26"/>
  <c r="E10" i="26"/>
  <c r="D10" i="26"/>
  <c r="I9" i="26"/>
  <c r="G9" i="26"/>
  <c r="F9" i="26"/>
  <c r="I8" i="26"/>
  <c r="G8" i="26"/>
  <c r="F8" i="26"/>
  <c r="I7" i="26"/>
  <c r="G7" i="26"/>
  <c r="F7" i="26"/>
  <c r="E5" i="26"/>
  <c r="I5" i="26" s="1"/>
  <c r="D5" i="26"/>
  <c r="F49" i="26" l="1"/>
  <c r="E121" i="26"/>
  <c r="L118" i="26" s="1"/>
  <c r="D93" i="26"/>
  <c r="D103" i="26" s="1"/>
  <c r="D102" i="26" s="1"/>
  <c r="G39" i="26"/>
  <c r="G107" i="26"/>
  <c r="M72" i="26"/>
  <c r="M73" i="26" s="1"/>
  <c r="G73" i="26"/>
  <c r="F27" i="26"/>
  <c r="G137" i="26"/>
  <c r="G139" i="26"/>
  <c r="F39" i="26"/>
  <c r="I39" i="26"/>
  <c r="F107" i="26"/>
  <c r="I107" i="26"/>
  <c r="F120" i="26"/>
  <c r="G19" i="26"/>
  <c r="G10" i="26"/>
  <c r="F19" i="26"/>
  <c r="I19" i="26"/>
  <c r="I102" i="26"/>
  <c r="F102" i="26"/>
  <c r="G102" i="26"/>
  <c r="G5" i="26"/>
  <c r="G14" i="26"/>
  <c r="F5" i="26"/>
  <c r="F10" i="26"/>
  <c r="I10" i="26"/>
  <c r="F14" i="26"/>
  <c r="F62" i="26"/>
  <c r="F72" i="26"/>
  <c r="I72" i="26"/>
  <c r="F73" i="26"/>
  <c r="I73" i="26"/>
  <c r="E89" i="26"/>
  <c r="D113" i="26"/>
  <c r="D121" i="26" s="1"/>
  <c r="I113" i="26"/>
  <c r="F117" i="26"/>
  <c r="D125" i="26"/>
  <c r="I125" i="26"/>
  <c r="F130" i="26"/>
  <c r="I130" i="26"/>
  <c r="D96" i="26" l="1"/>
  <c r="I137" i="26"/>
  <c r="F125" i="26"/>
  <c r="G113" i="26"/>
  <c r="F113" i="26"/>
  <c r="E92" i="26"/>
  <c r="I89" i="26"/>
  <c r="F89" i="26"/>
  <c r="G89" i="26"/>
  <c r="G65" i="26"/>
  <c r="F65" i="26"/>
  <c r="I121" i="26"/>
  <c r="G121" i="26"/>
  <c r="F121" i="26"/>
  <c r="G125" i="26"/>
  <c r="D35" i="26" l="1"/>
  <c r="D33" i="26" s="1"/>
  <c r="D37" i="26"/>
  <c r="G92" i="26"/>
  <c r="E96" i="26"/>
  <c r="I92" i="26"/>
  <c r="F92" i="26"/>
  <c r="I96" i="26" l="1"/>
  <c r="F96" i="26"/>
  <c r="E35" i="26"/>
  <c r="G96" i="26"/>
  <c r="E33" i="26" l="1"/>
  <c r="F33" i="26" s="1"/>
  <c r="E37" i="26"/>
  <c r="G38" i="26"/>
  <c r="I35" i="26"/>
  <c r="G35" i="26"/>
  <c r="G37" i="26" l="1"/>
  <c r="F37" i="26"/>
  <c r="I37" i="26"/>
  <c r="G33" i="26"/>
  <c r="I33" i="26"/>
  <c r="E70" i="20" l="1"/>
  <c r="E118" i="20" l="1"/>
  <c r="F151" i="20"/>
  <c r="F150" i="20"/>
  <c r="F149" i="20"/>
  <c r="F148" i="20"/>
  <c r="F147" i="20"/>
  <c r="E128" i="20"/>
  <c r="D128" i="20"/>
  <c r="D117" i="20"/>
  <c r="I27" i="20"/>
  <c r="H128" i="20"/>
  <c r="H125" i="20"/>
  <c r="H113" i="20"/>
  <c r="H108" i="20"/>
  <c r="H107" i="20" s="1"/>
  <c r="H103" i="20"/>
  <c r="H102" i="20" s="1"/>
  <c r="H121" i="20" s="1"/>
  <c r="H73" i="20"/>
  <c r="H72" i="20"/>
  <c r="H39" i="20"/>
  <c r="H19" i="20"/>
  <c r="H14" i="20"/>
  <c r="H10" i="20"/>
  <c r="H5" i="20"/>
  <c r="H89" i="20" l="1"/>
  <c r="H92" i="20" s="1"/>
  <c r="H96" i="20" s="1"/>
  <c r="H37" i="20"/>
  <c r="H35" i="20" s="1"/>
  <c r="I93" i="17"/>
  <c r="I27" i="17"/>
  <c r="G36" i="13" l="1"/>
  <c r="I35" i="13"/>
  <c r="I37" i="13"/>
  <c r="D93" i="13" l="1"/>
  <c r="E103" i="13"/>
  <c r="I103" i="13" l="1"/>
  <c r="F103" i="13"/>
  <c r="G103" i="13"/>
  <c r="G29" i="13"/>
  <c r="E39" i="25" l="1"/>
  <c r="E39" i="24"/>
  <c r="B167" i="25"/>
  <c r="G165" i="25"/>
  <c r="E159" i="25"/>
  <c r="I159" i="25" s="1"/>
  <c r="E158" i="25"/>
  <c r="I158" i="25" s="1"/>
  <c r="E157" i="25"/>
  <c r="I157" i="25" s="1"/>
  <c r="E156" i="25"/>
  <c r="I156" i="25" s="1"/>
  <c r="E155" i="25"/>
  <c r="I155" i="25" s="1"/>
  <c r="E154" i="25"/>
  <c r="E153" i="25"/>
  <c r="I152" i="25"/>
  <c r="I151" i="25"/>
  <c r="G151" i="25"/>
  <c r="G150" i="25"/>
  <c r="G149" i="25"/>
  <c r="I148" i="25"/>
  <c r="I147" i="25"/>
  <c r="G147" i="25"/>
  <c r="I146" i="25"/>
  <c r="G146" i="25"/>
  <c r="G145" i="25"/>
  <c r="I144" i="25"/>
  <c r="G144" i="25"/>
  <c r="I143" i="25"/>
  <c r="G143" i="25"/>
  <c r="I141" i="25"/>
  <c r="G141" i="25"/>
  <c r="I140" i="25"/>
  <c r="G140" i="25"/>
  <c r="E139" i="25"/>
  <c r="G139" i="25" s="1"/>
  <c r="I138" i="25"/>
  <c r="G138" i="25"/>
  <c r="I137" i="25"/>
  <c r="I136" i="25"/>
  <c r="G136" i="25"/>
  <c r="I135" i="25"/>
  <c r="G135" i="25"/>
  <c r="G134" i="25"/>
  <c r="I133" i="25"/>
  <c r="G133" i="25"/>
  <c r="G132" i="25"/>
  <c r="I131" i="25"/>
  <c r="G131" i="25"/>
  <c r="E130" i="25"/>
  <c r="G130" i="25" s="1"/>
  <c r="I129" i="25"/>
  <c r="G129" i="25"/>
  <c r="F129" i="25"/>
  <c r="E128" i="25"/>
  <c r="I128" i="25" s="1"/>
  <c r="D128" i="25"/>
  <c r="I127" i="25"/>
  <c r="G127" i="25"/>
  <c r="F127" i="25"/>
  <c r="G126" i="25"/>
  <c r="D125" i="25"/>
  <c r="H121" i="25"/>
  <c r="I120" i="25"/>
  <c r="D120" i="25"/>
  <c r="F120" i="25" s="1"/>
  <c r="M119" i="25"/>
  <c r="I119" i="25"/>
  <c r="G119" i="25"/>
  <c r="F119" i="25"/>
  <c r="E118" i="25"/>
  <c r="I118" i="25" s="1"/>
  <c r="D118" i="25"/>
  <c r="I117" i="25"/>
  <c r="D117" i="25"/>
  <c r="G117" i="25" s="1"/>
  <c r="I116" i="25"/>
  <c r="G116" i="25"/>
  <c r="I115" i="25"/>
  <c r="G115" i="25"/>
  <c r="I112" i="25"/>
  <c r="G112" i="25"/>
  <c r="F112" i="25"/>
  <c r="I111" i="25"/>
  <c r="G111" i="25"/>
  <c r="F111" i="25"/>
  <c r="I110" i="25"/>
  <c r="G110" i="25"/>
  <c r="F110" i="25"/>
  <c r="I109" i="25"/>
  <c r="G109" i="25"/>
  <c r="F109" i="25"/>
  <c r="I108" i="25"/>
  <c r="G108" i="25"/>
  <c r="E107" i="25"/>
  <c r="I107" i="25" s="1"/>
  <c r="D107" i="25"/>
  <c r="I106" i="25"/>
  <c r="G106" i="25"/>
  <c r="F106" i="25"/>
  <c r="I105" i="25"/>
  <c r="G105" i="25"/>
  <c r="E103" i="25"/>
  <c r="D103" i="25"/>
  <c r="D102" i="25" s="1"/>
  <c r="E102" i="25"/>
  <c r="H101" i="25"/>
  <c r="H100" i="25"/>
  <c r="H99" i="25"/>
  <c r="H98" i="25"/>
  <c r="G98" i="25"/>
  <c r="F98" i="25"/>
  <c r="H97" i="25"/>
  <c r="I95" i="25"/>
  <c r="G95" i="25"/>
  <c r="F95" i="25"/>
  <c r="G94" i="25"/>
  <c r="D91" i="25"/>
  <c r="G91" i="25" s="1"/>
  <c r="G88" i="25"/>
  <c r="F88" i="25"/>
  <c r="I87" i="25"/>
  <c r="G87" i="25"/>
  <c r="F87" i="25"/>
  <c r="G86" i="25"/>
  <c r="F86" i="25"/>
  <c r="I85" i="25"/>
  <c r="G85" i="25"/>
  <c r="F85" i="25"/>
  <c r="I84" i="25"/>
  <c r="G84" i="25"/>
  <c r="F84" i="25"/>
  <c r="I83" i="25"/>
  <c r="G83" i="25"/>
  <c r="F83" i="25"/>
  <c r="I82" i="25"/>
  <c r="G82" i="25"/>
  <c r="F82" i="25"/>
  <c r="I81" i="25"/>
  <c r="G81" i="25"/>
  <c r="F81" i="25"/>
  <c r="I80" i="25"/>
  <c r="G80" i="25"/>
  <c r="F80" i="25"/>
  <c r="I79" i="25"/>
  <c r="G79" i="25"/>
  <c r="F79" i="25"/>
  <c r="I78" i="25"/>
  <c r="G78" i="25"/>
  <c r="I77" i="25"/>
  <c r="G77" i="25"/>
  <c r="I76" i="25"/>
  <c r="G76" i="25"/>
  <c r="F76" i="25"/>
  <c r="I75" i="25"/>
  <c r="G75" i="25"/>
  <c r="F75" i="25"/>
  <c r="I74" i="25"/>
  <c r="G74" i="25"/>
  <c r="F74" i="25"/>
  <c r="E73" i="25"/>
  <c r="D73" i="25"/>
  <c r="E72" i="25"/>
  <c r="G72" i="25" s="1"/>
  <c r="D72" i="25"/>
  <c r="D89" i="25" s="1"/>
  <c r="D92" i="25" s="1"/>
  <c r="D96" i="25" s="1"/>
  <c r="D38" i="25" s="1"/>
  <c r="I71" i="25"/>
  <c r="G71" i="25"/>
  <c r="F71" i="25"/>
  <c r="M70" i="25"/>
  <c r="I70" i="25"/>
  <c r="G70" i="25"/>
  <c r="F70" i="25"/>
  <c r="I68" i="25"/>
  <c r="G68" i="25"/>
  <c r="F68" i="25"/>
  <c r="I67" i="25"/>
  <c r="G67" i="25"/>
  <c r="F67" i="25"/>
  <c r="I65" i="25"/>
  <c r="I64" i="25"/>
  <c r="I63" i="25"/>
  <c r="I62" i="25"/>
  <c r="D62" i="25"/>
  <c r="G62" i="25" s="1"/>
  <c r="I61" i="25"/>
  <c r="G61" i="25"/>
  <c r="F61" i="25"/>
  <c r="I60" i="25"/>
  <c r="F60" i="25"/>
  <c r="I59" i="25"/>
  <c r="G59" i="25"/>
  <c r="F59" i="25"/>
  <c r="I53" i="25"/>
  <c r="I52" i="25"/>
  <c r="H49" i="25"/>
  <c r="I49" i="25" s="1"/>
  <c r="E49" i="25"/>
  <c r="G49" i="25" s="1"/>
  <c r="D49" i="25"/>
  <c r="I46" i="25"/>
  <c r="G46" i="25"/>
  <c r="G44" i="25"/>
  <c r="G43" i="25"/>
  <c r="G42" i="25"/>
  <c r="G41" i="25"/>
  <c r="G40" i="25"/>
  <c r="I39" i="25"/>
  <c r="D39" i="25"/>
  <c r="G39" i="25" s="1"/>
  <c r="G34" i="25"/>
  <c r="I33" i="25"/>
  <c r="I32" i="25"/>
  <c r="I31" i="25"/>
  <c r="G31" i="25"/>
  <c r="I29" i="25"/>
  <c r="G29" i="25"/>
  <c r="F29" i="25"/>
  <c r="I28" i="25"/>
  <c r="G28" i="25"/>
  <c r="F28" i="25"/>
  <c r="I27" i="25"/>
  <c r="G27" i="25"/>
  <c r="F27" i="25"/>
  <c r="I26" i="25"/>
  <c r="G26" i="25"/>
  <c r="F26" i="25"/>
  <c r="I25" i="25"/>
  <c r="G25" i="25"/>
  <c r="F25" i="25"/>
  <c r="I23" i="25"/>
  <c r="G23" i="25"/>
  <c r="I22" i="25"/>
  <c r="G22" i="25"/>
  <c r="F22" i="25"/>
  <c r="I21" i="25"/>
  <c r="G21" i="25"/>
  <c r="F21" i="25"/>
  <c r="I20" i="25"/>
  <c r="E19" i="25"/>
  <c r="G19" i="25" s="1"/>
  <c r="D19" i="25"/>
  <c r="I18" i="25"/>
  <c r="G18" i="25"/>
  <c r="F18" i="25"/>
  <c r="I17" i="25"/>
  <c r="G17" i="25"/>
  <c r="F17" i="25"/>
  <c r="I16" i="25"/>
  <c r="G16" i="25"/>
  <c r="F16" i="25"/>
  <c r="I15" i="25"/>
  <c r="I14" i="25"/>
  <c r="E14" i="25"/>
  <c r="D14" i="25"/>
  <c r="F14" i="25" s="1"/>
  <c r="I13" i="25"/>
  <c r="G13" i="25"/>
  <c r="F13" i="25"/>
  <c r="I12" i="25"/>
  <c r="G12" i="25"/>
  <c r="F12" i="25"/>
  <c r="I11" i="25"/>
  <c r="I10" i="25"/>
  <c r="E10" i="25"/>
  <c r="D10" i="25"/>
  <c r="F10" i="25" s="1"/>
  <c r="I9" i="25"/>
  <c r="G9" i="25"/>
  <c r="F9" i="25"/>
  <c r="I8" i="25"/>
  <c r="G8" i="25"/>
  <c r="F8" i="25"/>
  <c r="I7" i="25"/>
  <c r="G7" i="25"/>
  <c r="F7" i="25"/>
  <c r="I5" i="25"/>
  <c r="E5" i="25"/>
  <c r="D5" i="25"/>
  <c r="D65" i="25" s="1"/>
  <c r="E139" i="24"/>
  <c r="E130" i="24"/>
  <c r="E128" i="24"/>
  <c r="E118" i="24"/>
  <c r="D117" i="24"/>
  <c r="H121" i="24"/>
  <c r="G5" i="25" l="1"/>
  <c r="G10" i="25"/>
  <c r="G14" i="25"/>
  <c r="F49" i="25"/>
  <c r="M72" i="25"/>
  <c r="M73" i="25" s="1"/>
  <c r="G73" i="25"/>
  <c r="D113" i="25"/>
  <c r="D121" i="25" s="1"/>
  <c r="F117" i="25"/>
  <c r="F130" i="25"/>
  <c r="I130" i="25"/>
  <c r="F39" i="25"/>
  <c r="G65" i="25"/>
  <c r="F65" i="25"/>
  <c r="D35" i="25"/>
  <c r="F19" i="25"/>
  <c r="I19" i="25"/>
  <c r="F62" i="25"/>
  <c r="F72" i="25"/>
  <c r="I72" i="25"/>
  <c r="F73" i="25"/>
  <c r="I73" i="25"/>
  <c r="E89" i="25"/>
  <c r="G102" i="25"/>
  <c r="G107" i="25"/>
  <c r="G118" i="25"/>
  <c r="G120" i="25"/>
  <c r="G128" i="25"/>
  <c r="I139" i="25"/>
  <c r="F5" i="25"/>
  <c r="F102" i="25"/>
  <c r="I102" i="25"/>
  <c r="F107" i="25"/>
  <c r="E113" i="25"/>
  <c r="F118" i="25"/>
  <c r="E125" i="25"/>
  <c r="F128" i="25"/>
  <c r="E137" i="25"/>
  <c r="G137" i="25" s="1"/>
  <c r="B167" i="24"/>
  <c r="G165" i="24"/>
  <c r="E159" i="24"/>
  <c r="I159" i="24" s="1"/>
  <c r="E158" i="24"/>
  <c r="I158" i="24" s="1"/>
  <c r="E157" i="24"/>
  <c r="I157" i="24" s="1"/>
  <c r="E156" i="24"/>
  <c r="I156" i="24" s="1"/>
  <c r="E155" i="24"/>
  <c r="I155" i="24" s="1"/>
  <c r="E154" i="24"/>
  <c r="E153" i="24"/>
  <c r="I152" i="24"/>
  <c r="I151" i="24"/>
  <c r="G151" i="24"/>
  <c r="G150" i="24"/>
  <c r="G149" i="24"/>
  <c r="I148" i="24"/>
  <c r="I147" i="24"/>
  <c r="G147" i="24"/>
  <c r="I146" i="24"/>
  <c r="G146" i="24"/>
  <c r="G145" i="24"/>
  <c r="I144" i="24"/>
  <c r="G144" i="24"/>
  <c r="I143" i="24"/>
  <c r="G143" i="24"/>
  <c r="I141" i="24"/>
  <c r="G141" i="24"/>
  <c r="I140" i="24"/>
  <c r="G140" i="24"/>
  <c r="I139" i="24"/>
  <c r="G139" i="24"/>
  <c r="I138" i="24"/>
  <c r="G138" i="24"/>
  <c r="I137" i="24"/>
  <c r="I136" i="24"/>
  <c r="G136" i="24"/>
  <c r="I135" i="24"/>
  <c r="G135" i="24"/>
  <c r="G134" i="24"/>
  <c r="G133" i="24"/>
  <c r="G132" i="24"/>
  <c r="I131" i="24"/>
  <c r="G131" i="24"/>
  <c r="I130" i="24"/>
  <c r="G130" i="24"/>
  <c r="F130" i="24"/>
  <c r="I129" i="24"/>
  <c r="G129" i="24"/>
  <c r="F129" i="24"/>
  <c r="I128" i="24"/>
  <c r="D128" i="24"/>
  <c r="G128" i="24" s="1"/>
  <c r="I127" i="24"/>
  <c r="G127" i="24"/>
  <c r="F127" i="24"/>
  <c r="G126" i="24"/>
  <c r="E125" i="24"/>
  <c r="D125" i="24"/>
  <c r="I120" i="24"/>
  <c r="F120" i="24"/>
  <c r="D120" i="24"/>
  <c r="G120" i="24" s="1"/>
  <c r="M119" i="24"/>
  <c r="I119" i="24"/>
  <c r="G119" i="24"/>
  <c r="F119" i="24"/>
  <c r="I118" i="24"/>
  <c r="D118" i="24"/>
  <c r="G118" i="24" s="1"/>
  <c r="I117" i="24"/>
  <c r="F117" i="24"/>
  <c r="I116" i="24"/>
  <c r="G116" i="24"/>
  <c r="I115" i="24"/>
  <c r="G115" i="24"/>
  <c r="E113" i="24"/>
  <c r="I112" i="24"/>
  <c r="G112" i="24"/>
  <c r="F112" i="24"/>
  <c r="I111" i="24"/>
  <c r="G111" i="24"/>
  <c r="F111" i="24"/>
  <c r="I110" i="24"/>
  <c r="G110" i="24"/>
  <c r="F110" i="24"/>
  <c r="I109" i="24"/>
  <c r="G109" i="24"/>
  <c r="F109" i="24"/>
  <c r="I108" i="24"/>
  <c r="G108" i="24"/>
  <c r="E107" i="24"/>
  <c r="G107" i="24" s="1"/>
  <c r="D107" i="24"/>
  <c r="I106" i="24"/>
  <c r="G106" i="24"/>
  <c r="F106" i="24"/>
  <c r="I105" i="24"/>
  <c r="G105" i="24"/>
  <c r="E103" i="24"/>
  <c r="D103" i="24"/>
  <c r="E102" i="24"/>
  <c r="D102" i="24"/>
  <c r="H101" i="24"/>
  <c r="H100" i="24"/>
  <c r="H99" i="24"/>
  <c r="H98" i="24"/>
  <c r="G98" i="24"/>
  <c r="F98" i="24"/>
  <c r="H97" i="24"/>
  <c r="I95" i="24"/>
  <c r="G95" i="24"/>
  <c r="F95" i="24"/>
  <c r="G94" i="24"/>
  <c r="D91" i="24"/>
  <c r="G91" i="24" s="1"/>
  <c r="G88" i="24"/>
  <c r="F88" i="24"/>
  <c r="I87" i="24"/>
  <c r="G87" i="24"/>
  <c r="F87" i="24"/>
  <c r="G86" i="24"/>
  <c r="F86" i="24"/>
  <c r="I85" i="24"/>
  <c r="G85" i="24"/>
  <c r="F85" i="24"/>
  <c r="I84" i="24"/>
  <c r="G84" i="24"/>
  <c r="F84" i="24"/>
  <c r="I83" i="24"/>
  <c r="G83" i="24"/>
  <c r="F83" i="24"/>
  <c r="I82" i="24"/>
  <c r="G82" i="24"/>
  <c r="F82" i="24"/>
  <c r="I81" i="24"/>
  <c r="G81" i="24"/>
  <c r="F81" i="24"/>
  <c r="I80" i="24"/>
  <c r="G80" i="24"/>
  <c r="F80" i="24"/>
  <c r="I79" i="24"/>
  <c r="G79" i="24"/>
  <c r="F79" i="24"/>
  <c r="I78" i="24"/>
  <c r="G78" i="24"/>
  <c r="I77" i="24"/>
  <c r="G77" i="24"/>
  <c r="I76" i="24"/>
  <c r="G76" i="24"/>
  <c r="F76" i="24"/>
  <c r="I75" i="24"/>
  <c r="G75" i="24"/>
  <c r="F75" i="24"/>
  <c r="I74" i="24"/>
  <c r="G74" i="24"/>
  <c r="F74" i="24"/>
  <c r="E73" i="24"/>
  <c r="I73" i="24" s="1"/>
  <c r="D73" i="24"/>
  <c r="E72" i="24"/>
  <c r="F72" i="24" s="1"/>
  <c r="D72" i="24"/>
  <c r="D89" i="24" s="1"/>
  <c r="D92" i="24" s="1"/>
  <c r="I71" i="24"/>
  <c r="G71" i="24"/>
  <c r="F71" i="24"/>
  <c r="M70" i="24"/>
  <c r="I70" i="24"/>
  <c r="G70" i="24"/>
  <c r="F70" i="24"/>
  <c r="I68" i="24"/>
  <c r="G68" i="24"/>
  <c r="F68" i="24"/>
  <c r="I67" i="24"/>
  <c r="G67" i="24"/>
  <c r="F67" i="24"/>
  <c r="I65" i="24"/>
  <c r="I64" i="24"/>
  <c r="I63" i="24"/>
  <c r="I62" i="24"/>
  <c r="D62" i="24"/>
  <c r="F62" i="24" s="1"/>
  <c r="I61" i="24"/>
  <c r="G61" i="24"/>
  <c r="F61" i="24"/>
  <c r="I60" i="24"/>
  <c r="F60" i="24"/>
  <c r="I59" i="24"/>
  <c r="G59" i="24"/>
  <c r="F59" i="24"/>
  <c r="I53" i="24"/>
  <c r="I52" i="24"/>
  <c r="H49" i="24"/>
  <c r="I49" i="24" s="1"/>
  <c r="E49" i="24"/>
  <c r="G49" i="24" s="1"/>
  <c r="D49" i="24"/>
  <c r="I46" i="24"/>
  <c r="G46" i="24"/>
  <c r="G44" i="24"/>
  <c r="G43" i="24"/>
  <c r="G42" i="24"/>
  <c r="G41" i="24"/>
  <c r="G40" i="24"/>
  <c r="I39" i="24"/>
  <c r="D39" i="24"/>
  <c r="G39" i="24" s="1"/>
  <c r="G34" i="24"/>
  <c r="I33" i="24"/>
  <c r="I32" i="24"/>
  <c r="I31" i="24"/>
  <c r="G31" i="24"/>
  <c r="I29" i="24"/>
  <c r="G29" i="24"/>
  <c r="F29" i="24"/>
  <c r="I28" i="24"/>
  <c r="G28" i="24"/>
  <c r="F28" i="24"/>
  <c r="I27" i="24"/>
  <c r="G27" i="24"/>
  <c r="F27" i="24"/>
  <c r="I26" i="24"/>
  <c r="G26" i="24"/>
  <c r="F26" i="24"/>
  <c r="I25" i="24"/>
  <c r="G25" i="24"/>
  <c r="F25" i="24"/>
  <c r="I23" i="24"/>
  <c r="G23" i="24"/>
  <c r="I22" i="24"/>
  <c r="G22" i="24"/>
  <c r="F22" i="24"/>
  <c r="I21" i="24"/>
  <c r="G21" i="24"/>
  <c r="F21" i="24"/>
  <c r="I20" i="24"/>
  <c r="I19" i="24"/>
  <c r="E19" i="24"/>
  <c r="D19" i="24"/>
  <c r="F19" i="24" s="1"/>
  <c r="I18" i="24"/>
  <c r="G18" i="24"/>
  <c r="F18" i="24"/>
  <c r="I17" i="24"/>
  <c r="G17" i="24"/>
  <c r="F17" i="24"/>
  <c r="I16" i="24"/>
  <c r="G16" i="24"/>
  <c r="F16" i="24"/>
  <c r="I15" i="24"/>
  <c r="E14" i="24"/>
  <c r="D14" i="24"/>
  <c r="I13" i="24"/>
  <c r="G13" i="24"/>
  <c r="F13" i="24"/>
  <c r="I12" i="24"/>
  <c r="G12" i="24"/>
  <c r="F12" i="24"/>
  <c r="I11" i="24"/>
  <c r="E10" i="24"/>
  <c r="I10" i="24" s="1"/>
  <c r="D10" i="24"/>
  <c r="I9" i="24"/>
  <c r="G9" i="24"/>
  <c r="F9" i="24"/>
  <c r="I8" i="24"/>
  <c r="G8" i="24"/>
  <c r="F8" i="24"/>
  <c r="I7" i="24"/>
  <c r="G7" i="24"/>
  <c r="F7" i="24"/>
  <c r="E5" i="24"/>
  <c r="I5" i="24" s="1"/>
  <c r="D5" i="24"/>
  <c r="D65" i="24" s="1"/>
  <c r="G14" i="24" l="1"/>
  <c r="G19" i="24"/>
  <c r="F49" i="24"/>
  <c r="F118" i="24"/>
  <c r="F125" i="24"/>
  <c r="F128" i="24"/>
  <c r="G125" i="25"/>
  <c r="I125" i="25"/>
  <c r="F125" i="25"/>
  <c r="G113" i="25"/>
  <c r="I113" i="25"/>
  <c r="F113" i="25"/>
  <c r="E121" i="25"/>
  <c r="E92" i="25"/>
  <c r="I89" i="25"/>
  <c r="F89" i="25"/>
  <c r="G89" i="25"/>
  <c r="D33" i="25"/>
  <c r="I133" i="24"/>
  <c r="E121" i="24"/>
  <c r="F107" i="24"/>
  <c r="I107" i="24"/>
  <c r="F73" i="24"/>
  <c r="I121" i="24"/>
  <c r="G65" i="24"/>
  <c r="F65" i="24"/>
  <c r="D96" i="24"/>
  <c r="G5" i="24"/>
  <c r="G10" i="24"/>
  <c r="I14" i="24"/>
  <c r="F5" i="24"/>
  <c r="F10" i="24"/>
  <c r="F14" i="24"/>
  <c r="F39" i="24"/>
  <c r="G62" i="24"/>
  <c r="G72" i="24"/>
  <c r="I72" i="24"/>
  <c r="E89" i="24"/>
  <c r="E92" i="24" s="1"/>
  <c r="G102" i="24"/>
  <c r="I102" i="24"/>
  <c r="I113" i="24"/>
  <c r="G117" i="24"/>
  <c r="G125" i="24"/>
  <c r="I125" i="24"/>
  <c r="M72" i="24"/>
  <c r="M73" i="24" s="1"/>
  <c r="G73" i="24"/>
  <c r="F102" i="24"/>
  <c r="D113" i="24"/>
  <c r="F113" i="24" s="1"/>
  <c r="E137" i="24"/>
  <c r="G137" i="24" s="1"/>
  <c r="E96" i="24" l="1"/>
  <c r="I92" i="24"/>
  <c r="G92" i="24"/>
  <c r="F92" i="24"/>
  <c r="I121" i="25"/>
  <c r="G121" i="25"/>
  <c r="F121" i="25"/>
  <c r="G92" i="25"/>
  <c r="E96" i="25"/>
  <c r="E35" i="25" s="1"/>
  <c r="I92" i="25"/>
  <c r="F92" i="25"/>
  <c r="F89" i="24"/>
  <c r="I89" i="24"/>
  <c r="G89" i="24"/>
  <c r="D121" i="24"/>
  <c r="G121" i="24" s="1"/>
  <c r="F96" i="24"/>
  <c r="D38" i="24"/>
  <c r="G113" i="24"/>
  <c r="E35" i="24" l="1"/>
  <c r="I96" i="24"/>
  <c r="G96" i="24"/>
  <c r="I35" i="25"/>
  <c r="E38" i="25"/>
  <c r="G38" i="25" s="1"/>
  <c r="E33" i="25"/>
  <c r="G33" i="25" s="1"/>
  <c r="G35" i="25"/>
  <c r="I96" i="25"/>
  <c r="F96" i="25"/>
  <c r="G96" i="25"/>
  <c r="D35" i="24"/>
  <c r="F121" i="24"/>
  <c r="E38" i="24" l="1"/>
  <c r="G38" i="24" s="1"/>
  <c r="E33" i="24"/>
  <c r="I35" i="24"/>
  <c r="G35" i="24"/>
  <c r="D33" i="24"/>
  <c r="G33" i="24" s="1"/>
  <c r="D75" i="23" l="1"/>
  <c r="E60" i="23" l="1"/>
  <c r="E61" i="23"/>
  <c r="E62" i="23"/>
  <c r="E63" i="23"/>
  <c r="E64" i="23"/>
  <c r="E65" i="23"/>
  <c r="E59" i="23"/>
  <c r="D63" i="23"/>
  <c r="D64" i="23"/>
  <c r="D65" i="23"/>
  <c r="D66" i="23"/>
  <c r="D67" i="23"/>
  <c r="D68" i="23"/>
  <c r="D60" i="23"/>
  <c r="D61" i="23"/>
  <c r="D62" i="23"/>
  <c r="D59" i="23"/>
  <c r="F106" i="20" l="1"/>
  <c r="D71" i="23"/>
  <c r="D70" i="23"/>
  <c r="E125" i="20"/>
  <c r="D125" i="20"/>
  <c r="D120" i="20"/>
  <c r="E113" i="20"/>
  <c r="D113" i="20"/>
  <c r="E107" i="20"/>
  <c r="D107" i="20"/>
  <c r="D103" i="20"/>
  <c r="E102" i="20"/>
  <c r="D102" i="20"/>
  <c r="D91" i="20"/>
  <c r="E73" i="20"/>
  <c r="D73" i="20"/>
  <c r="E72" i="20"/>
  <c r="D72" i="20"/>
  <c r="E19" i="20"/>
  <c r="D19" i="20"/>
  <c r="E14" i="20"/>
  <c r="D14" i="20"/>
  <c r="E10" i="20"/>
  <c r="D10" i="20"/>
  <c r="E5" i="20"/>
  <c r="D5" i="20"/>
  <c r="E128" i="23"/>
  <c r="D128" i="23"/>
  <c r="E108" i="23"/>
  <c r="F106" i="23"/>
  <c r="I27" i="23"/>
  <c r="H42" i="20"/>
  <c r="H33" i="20" s="1"/>
  <c r="H32" i="20"/>
  <c r="H128" i="23"/>
  <c r="H125" i="23" s="1"/>
  <c r="H113" i="23"/>
  <c r="H109" i="23"/>
  <c r="H107" i="23" s="1"/>
  <c r="H103" i="23"/>
  <c r="H102" i="23" s="1"/>
  <c r="H73" i="23"/>
  <c r="H72" i="23"/>
  <c r="H19" i="23"/>
  <c r="H14" i="23"/>
  <c r="H10" i="23"/>
  <c r="H5" i="23"/>
  <c r="H89" i="23" l="1"/>
  <c r="F102" i="20"/>
  <c r="D89" i="20"/>
  <c r="D92" i="20" s="1"/>
  <c r="D96" i="20" s="1"/>
  <c r="E89" i="20"/>
  <c r="E92" i="20" s="1"/>
  <c r="E96" i="20" s="1"/>
  <c r="E37" i="20" s="1"/>
  <c r="E121" i="20"/>
  <c r="D121" i="20"/>
  <c r="H92" i="23"/>
  <c r="H96" i="23"/>
  <c r="H37" i="23" s="1"/>
  <c r="H121" i="23"/>
  <c r="H35" i="23" l="1"/>
  <c r="H33" i="23"/>
  <c r="B166" i="23" l="1"/>
  <c r="G164" i="23"/>
  <c r="I158" i="23"/>
  <c r="I157" i="23"/>
  <c r="I156" i="23"/>
  <c r="I155" i="23"/>
  <c r="I154" i="23"/>
  <c r="I151" i="23"/>
  <c r="G151" i="23"/>
  <c r="I150" i="23"/>
  <c r="G150" i="23"/>
  <c r="G149" i="23"/>
  <c r="G148" i="23"/>
  <c r="I147" i="23"/>
  <c r="G147" i="23"/>
  <c r="I146" i="23"/>
  <c r="G146" i="23"/>
  <c r="I145" i="23"/>
  <c r="G145" i="23"/>
  <c r="G144" i="23"/>
  <c r="I143" i="23"/>
  <c r="G143" i="23"/>
  <c r="I142" i="23"/>
  <c r="G142" i="23"/>
  <c r="I141" i="23"/>
  <c r="G141" i="23"/>
  <c r="I140" i="23"/>
  <c r="G140" i="23"/>
  <c r="I139" i="23"/>
  <c r="G139" i="23"/>
  <c r="I138" i="23"/>
  <c r="G138" i="23"/>
  <c r="I137" i="23"/>
  <c r="G137" i="23"/>
  <c r="I136" i="23"/>
  <c r="G136" i="23"/>
  <c r="I135" i="23"/>
  <c r="G135" i="23"/>
  <c r="G134" i="23"/>
  <c r="I133" i="23"/>
  <c r="G133" i="23"/>
  <c r="G132" i="23"/>
  <c r="I131" i="23"/>
  <c r="G131" i="23"/>
  <c r="I130" i="23"/>
  <c r="G130" i="23"/>
  <c r="F130" i="23"/>
  <c r="I129" i="23"/>
  <c r="G129" i="23"/>
  <c r="F129" i="23"/>
  <c r="I128" i="23"/>
  <c r="F128" i="23"/>
  <c r="G128" i="23"/>
  <c r="I127" i="23"/>
  <c r="G127" i="23"/>
  <c r="F127" i="23"/>
  <c r="G126" i="23"/>
  <c r="E125" i="23"/>
  <c r="I125" i="23" s="1"/>
  <c r="D125" i="23"/>
  <c r="I120" i="23"/>
  <c r="D120" i="23"/>
  <c r="G120" i="23" s="1"/>
  <c r="M119" i="23"/>
  <c r="I119" i="23"/>
  <c r="G119" i="23"/>
  <c r="F119" i="23"/>
  <c r="I118" i="23"/>
  <c r="G118" i="23"/>
  <c r="F118" i="23"/>
  <c r="I117" i="23"/>
  <c r="G117" i="23"/>
  <c r="I116" i="23"/>
  <c r="G116" i="23"/>
  <c r="I115" i="23"/>
  <c r="G115" i="23"/>
  <c r="E113" i="23"/>
  <c r="I113" i="23" s="1"/>
  <c r="D113" i="23"/>
  <c r="I112" i="23"/>
  <c r="G112" i="23"/>
  <c r="F112" i="23"/>
  <c r="I111" i="23"/>
  <c r="G111" i="23"/>
  <c r="F111" i="23"/>
  <c r="I110" i="23"/>
  <c r="G110" i="23"/>
  <c r="F110" i="23"/>
  <c r="I109" i="23"/>
  <c r="G109" i="23"/>
  <c r="F109" i="23"/>
  <c r="I108" i="23"/>
  <c r="G108" i="23"/>
  <c r="E107" i="23"/>
  <c r="D107" i="23"/>
  <c r="I106" i="23"/>
  <c r="I105" i="23"/>
  <c r="G105" i="23"/>
  <c r="E103" i="23"/>
  <c r="E102" i="23" s="1"/>
  <c r="D103" i="23"/>
  <c r="G98" i="23"/>
  <c r="F98" i="23"/>
  <c r="I95" i="23"/>
  <c r="G95" i="23"/>
  <c r="F95" i="23"/>
  <c r="I94" i="23"/>
  <c r="G94" i="23"/>
  <c r="F94" i="23"/>
  <c r="D91" i="23"/>
  <c r="G91" i="23" s="1"/>
  <c r="G88" i="23"/>
  <c r="F88" i="23"/>
  <c r="I87" i="23"/>
  <c r="G87" i="23"/>
  <c r="F87" i="23"/>
  <c r="G86" i="23"/>
  <c r="F86" i="23"/>
  <c r="I85" i="23"/>
  <c r="G85" i="23"/>
  <c r="F85" i="23"/>
  <c r="I84" i="23"/>
  <c r="G84" i="23"/>
  <c r="F84" i="23"/>
  <c r="I83" i="23"/>
  <c r="G83" i="23"/>
  <c r="F83" i="23"/>
  <c r="I82" i="23"/>
  <c r="G82" i="23"/>
  <c r="F82" i="23"/>
  <c r="I81" i="23"/>
  <c r="G81" i="23"/>
  <c r="F81" i="23"/>
  <c r="I80" i="23"/>
  <c r="G80" i="23"/>
  <c r="F80" i="23"/>
  <c r="I79" i="23"/>
  <c r="G79" i="23"/>
  <c r="F79" i="23"/>
  <c r="I78" i="23"/>
  <c r="G78" i="23"/>
  <c r="F78" i="23"/>
  <c r="I77" i="23"/>
  <c r="I76" i="23"/>
  <c r="G76" i="23"/>
  <c r="I75" i="23"/>
  <c r="G75" i="23"/>
  <c r="F75" i="23"/>
  <c r="I74" i="23"/>
  <c r="G74" i="23"/>
  <c r="F74" i="23"/>
  <c r="E73" i="23"/>
  <c r="I73" i="23" s="1"/>
  <c r="E72" i="23"/>
  <c r="I71" i="23"/>
  <c r="D72" i="23"/>
  <c r="M70" i="23"/>
  <c r="I70" i="23"/>
  <c r="F70" i="23"/>
  <c r="I68" i="23"/>
  <c r="G68" i="23"/>
  <c r="F68" i="23"/>
  <c r="I67" i="23"/>
  <c r="G67" i="23"/>
  <c r="F67" i="23"/>
  <c r="I65" i="23"/>
  <c r="G65" i="23"/>
  <c r="F65" i="23"/>
  <c r="I64" i="23"/>
  <c r="I63" i="23"/>
  <c r="I62" i="23"/>
  <c r="G62" i="23"/>
  <c r="F62" i="23"/>
  <c r="I61" i="23"/>
  <c r="G61" i="23"/>
  <c r="F61" i="23"/>
  <c r="I60" i="23"/>
  <c r="F60" i="23"/>
  <c r="I59" i="23"/>
  <c r="G59" i="23"/>
  <c r="F59" i="23"/>
  <c r="I53" i="23"/>
  <c r="I52" i="23"/>
  <c r="H49" i="23"/>
  <c r="I49" i="23" s="1"/>
  <c r="E49" i="23"/>
  <c r="D49" i="23"/>
  <c r="I46" i="23"/>
  <c r="G46" i="23"/>
  <c r="G44" i="23"/>
  <c r="G43" i="23"/>
  <c r="G42" i="23"/>
  <c r="I41" i="23"/>
  <c r="G41" i="23"/>
  <c r="G40" i="23"/>
  <c r="I39" i="23"/>
  <c r="E39" i="23"/>
  <c r="D39" i="23"/>
  <c r="I35" i="23"/>
  <c r="G34" i="23"/>
  <c r="I33" i="23"/>
  <c r="I32" i="23"/>
  <c r="I31" i="23"/>
  <c r="G31" i="23"/>
  <c r="I29" i="23"/>
  <c r="G29" i="23"/>
  <c r="F29" i="23"/>
  <c r="I28" i="23"/>
  <c r="G28" i="23"/>
  <c r="F28" i="23"/>
  <c r="F27" i="23"/>
  <c r="G27" i="23"/>
  <c r="I26" i="23"/>
  <c r="G26" i="23"/>
  <c r="F26" i="23"/>
  <c r="I25" i="23"/>
  <c r="G25" i="23"/>
  <c r="F25" i="23"/>
  <c r="I23" i="23"/>
  <c r="G23" i="23"/>
  <c r="I22" i="23"/>
  <c r="G22" i="23"/>
  <c r="F22" i="23"/>
  <c r="I21" i="23"/>
  <c r="G21" i="23"/>
  <c r="F21" i="23"/>
  <c r="I20" i="23"/>
  <c r="E19" i="23"/>
  <c r="D19" i="23"/>
  <c r="I18" i="23"/>
  <c r="G18" i="23"/>
  <c r="F18" i="23"/>
  <c r="I17" i="23"/>
  <c r="G17" i="23"/>
  <c r="F17" i="23"/>
  <c r="I16" i="23"/>
  <c r="G16" i="23"/>
  <c r="F16" i="23"/>
  <c r="I15" i="23"/>
  <c r="E14" i="23"/>
  <c r="I14" i="23" s="1"/>
  <c r="D14" i="23"/>
  <c r="I13" i="23"/>
  <c r="G13" i="23"/>
  <c r="F13" i="23"/>
  <c r="I12" i="23"/>
  <c r="G12" i="23"/>
  <c r="F12" i="23"/>
  <c r="I11" i="23"/>
  <c r="E10" i="23"/>
  <c r="I10" i="23" s="1"/>
  <c r="D10" i="23"/>
  <c r="I9" i="23"/>
  <c r="G9" i="23"/>
  <c r="F9" i="23"/>
  <c r="I8" i="23"/>
  <c r="G8" i="23"/>
  <c r="F8" i="23"/>
  <c r="I7" i="23"/>
  <c r="G7" i="23"/>
  <c r="F7" i="23"/>
  <c r="E5" i="23"/>
  <c r="D5" i="23"/>
  <c r="B166" i="20"/>
  <c r="G164" i="20"/>
  <c r="E158" i="20"/>
  <c r="I158" i="20" s="1"/>
  <c r="E157" i="20"/>
  <c r="I157" i="20" s="1"/>
  <c r="E156" i="20"/>
  <c r="I156" i="20" s="1"/>
  <c r="E155" i="20"/>
  <c r="I155" i="20" s="1"/>
  <c r="E154" i="20"/>
  <c r="I154" i="20" s="1"/>
  <c r="E153" i="20"/>
  <c r="E152" i="20"/>
  <c r="I151" i="20"/>
  <c r="G151" i="20"/>
  <c r="I150" i="20"/>
  <c r="G150" i="20"/>
  <c r="G149" i="20"/>
  <c r="G148" i="20"/>
  <c r="I147" i="20"/>
  <c r="G147" i="20"/>
  <c r="I146" i="20"/>
  <c r="G146" i="20"/>
  <c r="I145" i="20"/>
  <c r="G145" i="20"/>
  <c r="G144" i="20"/>
  <c r="I143" i="20"/>
  <c r="G143" i="20"/>
  <c r="I142" i="20"/>
  <c r="G142" i="20"/>
  <c r="I141" i="20"/>
  <c r="G141" i="20"/>
  <c r="I140" i="20"/>
  <c r="G140" i="20"/>
  <c r="I139" i="20"/>
  <c r="G139" i="20"/>
  <c r="I138" i="20"/>
  <c r="G138" i="20"/>
  <c r="I137" i="20"/>
  <c r="G137" i="20"/>
  <c r="I136" i="20"/>
  <c r="G136" i="20"/>
  <c r="I135" i="20"/>
  <c r="G135" i="20"/>
  <c r="G134" i="20"/>
  <c r="I133" i="20"/>
  <c r="G133" i="20"/>
  <c r="G132" i="20"/>
  <c r="I131" i="20"/>
  <c r="G131" i="20"/>
  <c r="I130" i="20"/>
  <c r="G130" i="20"/>
  <c r="F130" i="20"/>
  <c r="I129" i="20"/>
  <c r="G129" i="20"/>
  <c r="F129" i="20"/>
  <c r="G128" i="20"/>
  <c r="I127" i="20"/>
  <c r="G127" i="20"/>
  <c r="F127" i="20"/>
  <c r="G126" i="20"/>
  <c r="I120" i="20"/>
  <c r="G120" i="20"/>
  <c r="M119" i="20"/>
  <c r="I119" i="20"/>
  <c r="G119" i="20"/>
  <c r="F119" i="20"/>
  <c r="I118" i="20"/>
  <c r="G118" i="20"/>
  <c r="F118" i="20"/>
  <c r="I117" i="20"/>
  <c r="F117" i="20"/>
  <c r="I116" i="20"/>
  <c r="G116" i="20"/>
  <c r="I115" i="20"/>
  <c r="G115" i="20"/>
  <c r="I113" i="20"/>
  <c r="I112" i="20"/>
  <c r="G112" i="20"/>
  <c r="F112" i="20"/>
  <c r="I111" i="20"/>
  <c r="G111" i="20"/>
  <c r="F111" i="20"/>
  <c r="I110" i="20"/>
  <c r="G110" i="20"/>
  <c r="F110" i="20"/>
  <c r="I109" i="20"/>
  <c r="G109" i="20"/>
  <c r="F109" i="20"/>
  <c r="I108" i="20"/>
  <c r="G108" i="20"/>
  <c r="I107" i="20"/>
  <c r="F107" i="20"/>
  <c r="I106" i="20"/>
  <c r="G106" i="20"/>
  <c r="I105" i="20"/>
  <c r="G105" i="20"/>
  <c r="G98" i="20"/>
  <c r="F98" i="20"/>
  <c r="I95" i="20"/>
  <c r="G95" i="20"/>
  <c r="F95" i="20"/>
  <c r="I94" i="20"/>
  <c r="G94" i="20"/>
  <c r="F94" i="20"/>
  <c r="G91" i="20"/>
  <c r="G88" i="20"/>
  <c r="F88" i="20"/>
  <c r="I87" i="20"/>
  <c r="G87" i="20"/>
  <c r="F87" i="20"/>
  <c r="G86" i="20"/>
  <c r="F86" i="20"/>
  <c r="I85" i="20"/>
  <c r="G85" i="20"/>
  <c r="F85" i="20"/>
  <c r="I84" i="20"/>
  <c r="G84" i="20"/>
  <c r="F84" i="20"/>
  <c r="I83" i="20"/>
  <c r="G83" i="20"/>
  <c r="F83" i="20"/>
  <c r="I82" i="20"/>
  <c r="G82" i="20"/>
  <c r="F82" i="20"/>
  <c r="I81" i="20"/>
  <c r="G81" i="20"/>
  <c r="F81" i="20"/>
  <c r="I80" i="20"/>
  <c r="G80" i="20"/>
  <c r="F80" i="20"/>
  <c r="I79" i="20"/>
  <c r="G79" i="20"/>
  <c r="F79" i="20"/>
  <c r="I78" i="20"/>
  <c r="G78" i="20"/>
  <c r="F78" i="20"/>
  <c r="I77" i="20"/>
  <c r="G77" i="20"/>
  <c r="I76" i="20"/>
  <c r="I75" i="20"/>
  <c r="I74" i="20"/>
  <c r="F73" i="20"/>
  <c r="I72" i="20"/>
  <c r="I71" i="20"/>
  <c r="G71" i="20"/>
  <c r="F71" i="20"/>
  <c r="M70" i="20"/>
  <c r="I70" i="20"/>
  <c r="G70" i="20"/>
  <c r="F70" i="20"/>
  <c r="I68" i="20"/>
  <c r="G68" i="20"/>
  <c r="F68" i="20"/>
  <c r="I67" i="20"/>
  <c r="G67" i="20"/>
  <c r="F67" i="20"/>
  <c r="I65" i="20"/>
  <c r="G65" i="20"/>
  <c r="F65" i="20"/>
  <c r="I64" i="20"/>
  <c r="I63" i="20"/>
  <c r="I62" i="20"/>
  <c r="G62" i="20"/>
  <c r="F62" i="20"/>
  <c r="I61" i="20"/>
  <c r="G61" i="20"/>
  <c r="F61" i="20"/>
  <c r="I60" i="20"/>
  <c r="F60" i="20"/>
  <c r="I59" i="20"/>
  <c r="G59" i="20"/>
  <c r="F59" i="20"/>
  <c r="I53" i="20"/>
  <c r="I52" i="20"/>
  <c r="H49" i="20"/>
  <c r="I49" i="20" s="1"/>
  <c r="E49" i="20"/>
  <c r="G49" i="20" s="1"/>
  <c r="D49" i="20"/>
  <c r="I46" i="20"/>
  <c r="G46" i="20"/>
  <c r="G44" i="20"/>
  <c r="G43" i="20"/>
  <c r="G42" i="20"/>
  <c r="G41" i="20"/>
  <c r="G40" i="20"/>
  <c r="E39" i="20"/>
  <c r="I39" i="20" s="1"/>
  <c r="D39" i="20"/>
  <c r="G34" i="20"/>
  <c r="I32" i="20"/>
  <c r="I31" i="20"/>
  <c r="G31" i="20"/>
  <c r="I29" i="20"/>
  <c r="G29" i="20"/>
  <c r="F29" i="20"/>
  <c r="I28" i="20"/>
  <c r="G28" i="20"/>
  <c r="F28" i="20"/>
  <c r="F27" i="20"/>
  <c r="I26" i="20"/>
  <c r="G26" i="20"/>
  <c r="F26" i="20"/>
  <c r="I25" i="20"/>
  <c r="G25" i="20"/>
  <c r="F25" i="20"/>
  <c r="I23" i="20"/>
  <c r="G23" i="20"/>
  <c r="I22" i="20"/>
  <c r="G22" i="20"/>
  <c r="F22" i="20"/>
  <c r="I21" i="20"/>
  <c r="G21" i="20"/>
  <c r="F21" i="20"/>
  <c r="I20" i="20"/>
  <c r="I18" i="20"/>
  <c r="G18" i="20"/>
  <c r="F18" i="20"/>
  <c r="I17" i="20"/>
  <c r="G17" i="20"/>
  <c r="F17" i="20"/>
  <c r="I16" i="20"/>
  <c r="G16" i="20"/>
  <c r="F16" i="20"/>
  <c r="I15" i="20"/>
  <c r="I13" i="20"/>
  <c r="G13" i="20"/>
  <c r="F13" i="20"/>
  <c r="I12" i="20"/>
  <c r="G12" i="20"/>
  <c r="F12" i="20"/>
  <c r="I11" i="20"/>
  <c r="F10" i="20"/>
  <c r="I9" i="20"/>
  <c r="G9" i="20"/>
  <c r="F9" i="20"/>
  <c r="I8" i="20"/>
  <c r="G8" i="20"/>
  <c r="F8" i="20"/>
  <c r="I7" i="20"/>
  <c r="G7" i="20"/>
  <c r="F7" i="20"/>
  <c r="F5" i="20"/>
  <c r="G49" i="23" l="1"/>
  <c r="F49" i="20"/>
  <c r="F49" i="23"/>
  <c r="F39" i="20"/>
  <c r="F113" i="23"/>
  <c r="F107" i="23"/>
  <c r="F19" i="23"/>
  <c r="F14" i="23"/>
  <c r="G5" i="23"/>
  <c r="G39" i="20"/>
  <c r="F113" i="20"/>
  <c r="G107" i="20"/>
  <c r="F120" i="20"/>
  <c r="F19" i="20"/>
  <c r="F14" i="20"/>
  <c r="I10" i="20"/>
  <c r="G10" i="20"/>
  <c r="G39" i="23"/>
  <c r="G107" i="23"/>
  <c r="I107" i="23"/>
  <c r="E89" i="23"/>
  <c r="I89" i="23" s="1"/>
  <c r="F120" i="23"/>
  <c r="G19" i="23"/>
  <c r="I19" i="23"/>
  <c r="G14" i="23"/>
  <c r="F5" i="23"/>
  <c r="I5" i="23"/>
  <c r="G106" i="23"/>
  <c r="D102" i="23"/>
  <c r="D121" i="23" s="1"/>
  <c r="F72" i="23"/>
  <c r="E92" i="23"/>
  <c r="E121" i="23"/>
  <c r="I102" i="23"/>
  <c r="G102" i="23"/>
  <c r="G10" i="23"/>
  <c r="F10" i="23"/>
  <c r="F39" i="23"/>
  <c r="G70" i="23"/>
  <c r="F71" i="23"/>
  <c r="G72" i="23"/>
  <c r="I72" i="23"/>
  <c r="D73" i="23"/>
  <c r="M72" i="23" s="1"/>
  <c r="M73" i="23" s="1"/>
  <c r="F76" i="23"/>
  <c r="G77" i="23"/>
  <c r="G113" i="23"/>
  <c r="F117" i="23"/>
  <c r="F125" i="23"/>
  <c r="G71" i="23"/>
  <c r="G125" i="23"/>
  <c r="I102" i="20"/>
  <c r="G5" i="20"/>
  <c r="G19" i="20"/>
  <c r="F72" i="20"/>
  <c r="M72" i="20"/>
  <c r="M73" i="20" s="1"/>
  <c r="G73" i="20"/>
  <c r="I73" i="20"/>
  <c r="G74" i="20"/>
  <c r="G75" i="20"/>
  <c r="G76" i="20"/>
  <c r="G117" i="20"/>
  <c r="F128" i="20"/>
  <c r="I128" i="20"/>
  <c r="I5" i="20"/>
  <c r="G14" i="20"/>
  <c r="I14" i="20"/>
  <c r="I19" i="20"/>
  <c r="G27" i="20"/>
  <c r="G72" i="20"/>
  <c r="F74" i="20"/>
  <c r="F75" i="20"/>
  <c r="F76" i="20"/>
  <c r="G113" i="20"/>
  <c r="E125" i="17"/>
  <c r="E113" i="17"/>
  <c r="E107" i="17"/>
  <c r="E103" i="17"/>
  <c r="F102" i="23" l="1"/>
  <c r="E102" i="17"/>
  <c r="I103" i="17"/>
  <c r="E121" i="17"/>
  <c r="G73" i="23"/>
  <c r="G102" i="20"/>
  <c r="F73" i="23"/>
  <c r="D89" i="23"/>
  <c r="F89" i="23" s="1"/>
  <c r="E37" i="23"/>
  <c r="E35" i="23" s="1"/>
  <c r="E96" i="23"/>
  <c r="I92" i="23"/>
  <c r="I121" i="23"/>
  <c r="G121" i="23"/>
  <c r="F121" i="23"/>
  <c r="F125" i="20"/>
  <c r="I125" i="20"/>
  <c r="G125" i="20"/>
  <c r="F89" i="20"/>
  <c r="I89" i="20"/>
  <c r="G89" i="20"/>
  <c r="F121" i="20"/>
  <c r="I121" i="20"/>
  <c r="G121" i="20"/>
  <c r="D38" i="20"/>
  <c r="E128" i="19"/>
  <c r="D92" i="23" l="1"/>
  <c r="G89" i="23"/>
  <c r="I96" i="23"/>
  <c r="E33" i="23"/>
  <c r="G38" i="20"/>
  <c r="D35" i="20"/>
  <c r="D33" i="20" s="1"/>
  <c r="F92" i="20"/>
  <c r="E35" i="20"/>
  <c r="I35" i="20" s="1"/>
  <c r="I92" i="20"/>
  <c r="G92" i="20"/>
  <c r="D96" i="23" l="1"/>
  <c r="F92" i="23"/>
  <c r="G92" i="23"/>
  <c r="E33" i="20"/>
  <c r="G35" i="20"/>
  <c r="I96" i="20"/>
  <c r="G96" i="20"/>
  <c r="F96" i="20"/>
  <c r="E152" i="17"/>
  <c r="E153" i="17"/>
  <c r="E154" i="17"/>
  <c r="E155" i="17"/>
  <c r="E156" i="17"/>
  <c r="E157" i="17"/>
  <c r="E158" i="17"/>
  <c r="E103" i="19"/>
  <c r="E77" i="19"/>
  <c r="D38" i="23" l="1"/>
  <c r="F96" i="23"/>
  <c r="G96" i="23"/>
  <c r="G33" i="20"/>
  <c r="I33" i="20"/>
  <c r="D76" i="19"/>
  <c r="D71" i="19"/>
  <c r="D70" i="19"/>
  <c r="D106" i="19" s="1"/>
  <c r="B166" i="19"/>
  <c r="G164" i="19"/>
  <c r="I158" i="19"/>
  <c r="I157" i="19"/>
  <c r="I156" i="19"/>
  <c r="I155" i="19"/>
  <c r="I154" i="19"/>
  <c r="I151" i="19"/>
  <c r="G151" i="19"/>
  <c r="I150" i="19"/>
  <c r="G150" i="19"/>
  <c r="G149" i="19"/>
  <c r="G148" i="19"/>
  <c r="I147" i="19"/>
  <c r="G147" i="19"/>
  <c r="I146" i="19"/>
  <c r="G146" i="19"/>
  <c r="I145" i="19"/>
  <c r="G145" i="19"/>
  <c r="G144" i="19"/>
  <c r="I143" i="19"/>
  <c r="G143" i="19"/>
  <c r="I142" i="19"/>
  <c r="G142" i="19"/>
  <c r="I141" i="19"/>
  <c r="G141" i="19"/>
  <c r="I140" i="19"/>
  <c r="G140" i="19"/>
  <c r="I139" i="19"/>
  <c r="G139" i="19"/>
  <c r="I138" i="19"/>
  <c r="G138" i="19"/>
  <c r="I137" i="19"/>
  <c r="G137" i="19"/>
  <c r="I136" i="19"/>
  <c r="G136" i="19"/>
  <c r="I135" i="19"/>
  <c r="G135" i="19"/>
  <c r="G134" i="19"/>
  <c r="I133" i="19"/>
  <c r="G133" i="19"/>
  <c r="G132" i="19"/>
  <c r="I131" i="19"/>
  <c r="G131" i="19"/>
  <c r="I130" i="19"/>
  <c r="G130" i="19"/>
  <c r="F130" i="19"/>
  <c r="I129" i="19"/>
  <c r="G129" i="19"/>
  <c r="F129" i="19"/>
  <c r="I128" i="19"/>
  <c r="G128" i="19"/>
  <c r="F128" i="19"/>
  <c r="I127" i="19"/>
  <c r="G127" i="19"/>
  <c r="F127" i="19"/>
  <c r="G126" i="19"/>
  <c r="H125" i="19"/>
  <c r="E125" i="19"/>
  <c r="F125" i="19" s="1"/>
  <c r="D125" i="19"/>
  <c r="I120" i="19"/>
  <c r="D120" i="19"/>
  <c r="G120" i="19" s="1"/>
  <c r="M119" i="19"/>
  <c r="I119" i="19"/>
  <c r="G119" i="19"/>
  <c r="F119" i="19"/>
  <c r="I118" i="19"/>
  <c r="G118" i="19"/>
  <c r="F118" i="19"/>
  <c r="I117" i="19"/>
  <c r="D117" i="19"/>
  <c r="F117" i="19" s="1"/>
  <c r="I116" i="19"/>
  <c r="G116" i="19"/>
  <c r="I115" i="19"/>
  <c r="G115" i="19"/>
  <c r="H113" i="19"/>
  <c r="E113" i="19"/>
  <c r="D113" i="19"/>
  <c r="I112" i="19"/>
  <c r="G112" i="19"/>
  <c r="F112" i="19"/>
  <c r="I111" i="19"/>
  <c r="G111" i="19"/>
  <c r="F111" i="19"/>
  <c r="I110" i="19"/>
  <c r="G110" i="19"/>
  <c r="F110" i="19"/>
  <c r="I109" i="19"/>
  <c r="G109" i="19"/>
  <c r="F109" i="19"/>
  <c r="I108" i="19"/>
  <c r="G108" i="19"/>
  <c r="H107" i="19"/>
  <c r="E107" i="19"/>
  <c r="G107" i="19" s="1"/>
  <c r="D107" i="19"/>
  <c r="I106" i="19"/>
  <c r="G106" i="19"/>
  <c r="I105" i="19"/>
  <c r="G105" i="19"/>
  <c r="H102" i="19"/>
  <c r="E102" i="19"/>
  <c r="G98" i="19"/>
  <c r="F98" i="19"/>
  <c r="I95" i="19"/>
  <c r="G95" i="19"/>
  <c r="F95" i="19"/>
  <c r="I94" i="19"/>
  <c r="G94" i="19"/>
  <c r="F94" i="19"/>
  <c r="D91" i="19"/>
  <c r="G91" i="19" s="1"/>
  <c r="G88" i="19"/>
  <c r="F88" i="19"/>
  <c r="I87" i="19"/>
  <c r="G87" i="19"/>
  <c r="F87" i="19"/>
  <c r="G86" i="19"/>
  <c r="F86" i="19"/>
  <c r="I85" i="19"/>
  <c r="G85" i="19"/>
  <c r="F85" i="19"/>
  <c r="I84" i="19"/>
  <c r="G84" i="19"/>
  <c r="F84" i="19"/>
  <c r="I83" i="19"/>
  <c r="G83" i="19"/>
  <c r="F83" i="19"/>
  <c r="I82" i="19"/>
  <c r="G82" i="19"/>
  <c r="F82" i="19"/>
  <c r="I81" i="19"/>
  <c r="G81" i="19"/>
  <c r="F81" i="19"/>
  <c r="I80" i="19"/>
  <c r="G80" i="19"/>
  <c r="F80" i="19"/>
  <c r="I79" i="19"/>
  <c r="G79" i="19"/>
  <c r="F79" i="19"/>
  <c r="I78" i="19"/>
  <c r="G78" i="19"/>
  <c r="F78" i="19"/>
  <c r="I77" i="19"/>
  <c r="G77" i="19"/>
  <c r="I76" i="19"/>
  <c r="G76" i="19"/>
  <c r="F76" i="19"/>
  <c r="I75" i="19"/>
  <c r="G75" i="19"/>
  <c r="F75" i="19"/>
  <c r="I74" i="19"/>
  <c r="G74" i="19"/>
  <c r="F74" i="19"/>
  <c r="H73" i="19"/>
  <c r="E73" i="19"/>
  <c r="I73" i="19" s="1"/>
  <c r="D73" i="19"/>
  <c r="H72" i="19"/>
  <c r="H89" i="19" s="1"/>
  <c r="H92" i="19" s="1"/>
  <c r="H96" i="19" s="1"/>
  <c r="E72" i="19"/>
  <c r="D72" i="19"/>
  <c r="D89" i="19" s="1"/>
  <c r="D92" i="19" s="1"/>
  <c r="I71" i="19"/>
  <c r="G71" i="19"/>
  <c r="F71" i="19"/>
  <c r="M70" i="19"/>
  <c r="I70" i="19"/>
  <c r="G70" i="19"/>
  <c r="F70" i="19"/>
  <c r="I68" i="19"/>
  <c r="G68" i="19"/>
  <c r="F68" i="19"/>
  <c r="I67" i="19"/>
  <c r="G67" i="19"/>
  <c r="F67" i="19"/>
  <c r="I65" i="19"/>
  <c r="G65" i="19"/>
  <c r="F65" i="19"/>
  <c r="I64" i="19"/>
  <c r="I63" i="19"/>
  <c r="H62" i="19"/>
  <c r="E62" i="19"/>
  <c r="F62" i="19" s="1"/>
  <c r="D62" i="19"/>
  <c r="I61" i="19"/>
  <c r="G61" i="19"/>
  <c r="F61" i="19"/>
  <c r="I60" i="19"/>
  <c r="F60" i="19"/>
  <c r="I59" i="19"/>
  <c r="G59" i="19"/>
  <c r="F59" i="19"/>
  <c r="I53" i="19"/>
  <c r="I52" i="19"/>
  <c r="I49" i="19"/>
  <c r="H49" i="19"/>
  <c r="E49" i="19"/>
  <c r="F49" i="19" s="1"/>
  <c r="D49" i="19"/>
  <c r="I46" i="19"/>
  <c r="G46" i="19"/>
  <c r="G44" i="19"/>
  <c r="G43" i="19"/>
  <c r="G42" i="19"/>
  <c r="I41" i="19"/>
  <c r="G41" i="19"/>
  <c r="G40" i="19"/>
  <c r="I39" i="19"/>
  <c r="E39" i="19"/>
  <c r="D39" i="19"/>
  <c r="F39" i="19" s="1"/>
  <c r="H35" i="19"/>
  <c r="I35" i="19" s="1"/>
  <c r="G34" i="19"/>
  <c r="I32" i="19"/>
  <c r="I31" i="19"/>
  <c r="G31" i="19"/>
  <c r="I29" i="19"/>
  <c r="G29" i="19"/>
  <c r="F29" i="19"/>
  <c r="I28" i="19"/>
  <c r="G28" i="19"/>
  <c r="F28" i="19"/>
  <c r="E27" i="19"/>
  <c r="F27" i="19" s="1"/>
  <c r="I26" i="19"/>
  <c r="G26" i="19"/>
  <c r="F26" i="19"/>
  <c r="I25" i="19"/>
  <c r="G25" i="19"/>
  <c r="F25" i="19"/>
  <c r="I23" i="19"/>
  <c r="G23" i="19"/>
  <c r="I22" i="19"/>
  <c r="G22" i="19"/>
  <c r="F22" i="19"/>
  <c r="I21" i="19"/>
  <c r="G21" i="19"/>
  <c r="F21" i="19"/>
  <c r="I20" i="19"/>
  <c r="H19" i="19"/>
  <c r="E19" i="19"/>
  <c r="F19" i="19" s="1"/>
  <c r="D19" i="19"/>
  <c r="I18" i="19"/>
  <c r="G18" i="19"/>
  <c r="F18" i="19"/>
  <c r="I17" i="19"/>
  <c r="G17" i="19"/>
  <c r="F17" i="19"/>
  <c r="I16" i="19"/>
  <c r="G16" i="19"/>
  <c r="F16" i="19"/>
  <c r="I15" i="19"/>
  <c r="H14" i="19"/>
  <c r="E14" i="19"/>
  <c r="D14" i="19"/>
  <c r="I13" i="19"/>
  <c r="G13" i="19"/>
  <c r="F13" i="19"/>
  <c r="I12" i="19"/>
  <c r="G12" i="19"/>
  <c r="F12" i="19"/>
  <c r="I11" i="19"/>
  <c r="H10" i="19"/>
  <c r="I10" i="19" s="1"/>
  <c r="E10" i="19"/>
  <c r="D10" i="19"/>
  <c r="F10" i="19" s="1"/>
  <c r="I9" i="19"/>
  <c r="G9" i="19"/>
  <c r="F9" i="19"/>
  <c r="I8" i="19"/>
  <c r="G8" i="19"/>
  <c r="F8" i="19"/>
  <c r="I7" i="19"/>
  <c r="G7" i="19"/>
  <c r="F7" i="19"/>
  <c r="H5" i="19"/>
  <c r="E5" i="19"/>
  <c r="D5" i="19"/>
  <c r="B166" i="17"/>
  <c r="G164" i="17"/>
  <c r="I158" i="17"/>
  <c r="I157" i="17"/>
  <c r="I156" i="17"/>
  <c r="I155" i="17"/>
  <c r="I154" i="17"/>
  <c r="I151" i="17"/>
  <c r="G151" i="17"/>
  <c r="I150" i="17"/>
  <c r="G150" i="17"/>
  <c r="G149" i="17"/>
  <c r="G148" i="17"/>
  <c r="I147" i="17"/>
  <c r="G147" i="17"/>
  <c r="I146" i="17"/>
  <c r="G146" i="17"/>
  <c r="I145" i="17"/>
  <c r="G145" i="17"/>
  <c r="G144" i="17"/>
  <c r="I143" i="17"/>
  <c r="G143" i="17"/>
  <c r="I142" i="17"/>
  <c r="G142" i="17"/>
  <c r="I141" i="17"/>
  <c r="G141" i="17"/>
  <c r="I140" i="17"/>
  <c r="G140" i="17"/>
  <c r="I139" i="17"/>
  <c r="G139" i="17"/>
  <c r="I138" i="17"/>
  <c r="G138" i="17"/>
  <c r="I137" i="17"/>
  <c r="G137" i="17"/>
  <c r="I136" i="17"/>
  <c r="G136" i="17"/>
  <c r="I135" i="17"/>
  <c r="G135" i="17"/>
  <c r="G134" i="17"/>
  <c r="I133" i="17"/>
  <c r="G133" i="17"/>
  <c r="G132" i="17"/>
  <c r="I131" i="17"/>
  <c r="G131" i="17"/>
  <c r="I130" i="17"/>
  <c r="G130" i="17"/>
  <c r="F130" i="17"/>
  <c r="I129" i="17"/>
  <c r="G129" i="17"/>
  <c r="F129" i="17"/>
  <c r="I128" i="17"/>
  <c r="G128" i="17"/>
  <c r="F128" i="17"/>
  <c r="I127" i="17"/>
  <c r="G127" i="17"/>
  <c r="F127" i="17"/>
  <c r="G126" i="17"/>
  <c r="D125" i="17"/>
  <c r="F125" i="17" s="1"/>
  <c r="I120" i="17"/>
  <c r="D120" i="17"/>
  <c r="G120" i="17" s="1"/>
  <c r="M119" i="17"/>
  <c r="I119" i="17"/>
  <c r="G119" i="17"/>
  <c r="F119" i="17"/>
  <c r="I118" i="17"/>
  <c r="G118" i="17"/>
  <c r="F118" i="17"/>
  <c r="I117" i="17"/>
  <c r="F117" i="17"/>
  <c r="I116" i="17"/>
  <c r="G116" i="17"/>
  <c r="I115" i="17"/>
  <c r="G115" i="17"/>
  <c r="I113" i="17"/>
  <c r="I112" i="17"/>
  <c r="G112" i="17"/>
  <c r="F112" i="17"/>
  <c r="I111" i="17"/>
  <c r="G111" i="17"/>
  <c r="F111" i="17"/>
  <c r="I110" i="17"/>
  <c r="G110" i="17"/>
  <c r="F110" i="17"/>
  <c r="I109" i="17"/>
  <c r="G109" i="17"/>
  <c r="F109" i="17"/>
  <c r="I108" i="17"/>
  <c r="G108" i="17"/>
  <c r="I107" i="17"/>
  <c r="D107" i="17"/>
  <c r="I106" i="17"/>
  <c r="G106" i="17"/>
  <c r="I105" i="17"/>
  <c r="G105" i="17"/>
  <c r="G98" i="17"/>
  <c r="F98" i="17"/>
  <c r="I95" i="17"/>
  <c r="G95" i="17"/>
  <c r="F95" i="17"/>
  <c r="I94" i="17"/>
  <c r="G94" i="17"/>
  <c r="F94" i="17"/>
  <c r="D91" i="17"/>
  <c r="G91" i="17" s="1"/>
  <c r="G88" i="17"/>
  <c r="F88" i="17"/>
  <c r="I87" i="17"/>
  <c r="G87" i="17"/>
  <c r="F87" i="17"/>
  <c r="G86" i="17"/>
  <c r="F86" i="17"/>
  <c r="I85" i="17"/>
  <c r="G85" i="17"/>
  <c r="F85" i="17"/>
  <c r="I84" i="17"/>
  <c r="G84" i="17"/>
  <c r="F84" i="17"/>
  <c r="I83" i="17"/>
  <c r="G83" i="17"/>
  <c r="F83" i="17"/>
  <c r="I82" i="17"/>
  <c r="G82" i="17"/>
  <c r="F82" i="17"/>
  <c r="I81" i="17"/>
  <c r="G81" i="17"/>
  <c r="F81" i="17"/>
  <c r="I80" i="17"/>
  <c r="G80" i="17"/>
  <c r="F80" i="17"/>
  <c r="I79" i="17"/>
  <c r="G79" i="17"/>
  <c r="F79" i="17"/>
  <c r="I78" i="17"/>
  <c r="G78" i="17"/>
  <c r="F78" i="17"/>
  <c r="I77" i="17"/>
  <c r="G77" i="17"/>
  <c r="I76" i="17"/>
  <c r="G76" i="17"/>
  <c r="F76" i="17"/>
  <c r="I75" i="17"/>
  <c r="G75" i="17"/>
  <c r="F75" i="17"/>
  <c r="I74" i="17"/>
  <c r="G74" i="17"/>
  <c r="F74" i="17"/>
  <c r="D73" i="17"/>
  <c r="D89" i="17" s="1"/>
  <c r="D72" i="17"/>
  <c r="I71" i="17"/>
  <c r="G71" i="17"/>
  <c r="F71" i="17"/>
  <c r="M70" i="17"/>
  <c r="I70" i="17"/>
  <c r="G70" i="17"/>
  <c r="F70" i="17"/>
  <c r="I68" i="17"/>
  <c r="G68" i="17"/>
  <c r="F68" i="17"/>
  <c r="I67" i="17"/>
  <c r="G67" i="17"/>
  <c r="F67" i="17"/>
  <c r="I65" i="17"/>
  <c r="G65" i="17"/>
  <c r="F65" i="17"/>
  <c r="I64" i="17"/>
  <c r="I63" i="17"/>
  <c r="I62" i="17"/>
  <c r="G62" i="17"/>
  <c r="F62" i="17"/>
  <c r="I61" i="17"/>
  <c r="G61" i="17"/>
  <c r="F61" i="17"/>
  <c r="I60" i="17"/>
  <c r="F60" i="17"/>
  <c r="I59" i="17"/>
  <c r="G59" i="17"/>
  <c r="F59" i="17"/>
  <c r="I53" i="17"/>
  <c r="I52" i="17"/>
  <c r="H49" i="17"/>
  <c r="I49" i="17" s="1"/>
  <c r="E49" i="17"/>
  <c r="F49" i="17" s="1"/>
  <c r="D49" i="17"/>
  <c r="I46" i="17"/>
  <c r="G46" i="17"/>
  <c r="G44" i="17"/>
  <c r="G43" i="17"/>
  <c r="G42" i="17"/>
  <c r="I41" i="17"/>
  <c r="G41" i="17"/>
  <c r="G40" i="17"/>
  <c r="E39" i="17"/>
  <c r="G39" i="17" s="1"/>
  <c r="G34" i="17"/>
  <c r="I32" i="17"/>
  <c r="I31" i="17"/>
  <c r="G31" i="17"/>
  <c r="I29" i="17"/>
  <c r="G29" i="17"/>
  <c r="F29" i="17"/>
  <c r="I28" i="17"/>
  <c r="G28" i="17"/>
  <c r="F28" i="17"/>
  <c r="F27" i="17"/>
  <c r="I26" i="17"/>
  <c r="G26" i="17"/>
  <c r="F26" i="17"/>
  <c r="I25" i="17"/>
  <c r="G25" i="17"/>
  <c r="F25" i="17"/>
  <c r="I23" i="17"/>
  <c r="G23" i="17"/>
  <c r="I22" i="17"/>
  <c r="G22" i="17"/>
  <c r="F22" i="17"/>
  <c r="I21" i="17"/>
  <c r="G21" i="17"/>
  <c r="F21" i="17"/>
  <c r="I20" i="17"/>
  <c r="E19" i="17"/>
  <c r="D19" i="17"/>
  <c r="I18" i="17"/>
  <c r="G18" i="17"/>
  <c r="F18" i="17"/>
  <c r="I17" i="17"/>
  <c r="G17" i="17"/>
  <c r="F17" i="17"/>
  <c r="I16" i="17"/>
  <c r="G16" i="17"/>
  <c r="F16" i="17"/>
  <c r="I15" i="17"/>
  <c r="E14" i="17"/>
  <c r="D14" i="17"/>
  <c r="I13" i="17"/>
  <c r="G13" i="17"/>
  <c r="F13" i="17"/>
  <c r="I12" i="17"/>
  <c r="G12" i="17"/>
  <c r="F12" i="17"/>
  <c r="I11" i="17"/>
  <c r="E10" i="17"/>
  <c r="D10" i="17"/>
  <c r="I9" i="17"/>
  <c r="G9" i="17"/>
  <c r="F9" i="17"/>
  <c r="I8" i="17"/>
  <c r="G8" i="17"/>
  <c r="F8" i="17"/>
  <c r="I7" i="17"/>
  <c r="G7" i="17"/>
  <c r="F7" i="17"/>
  <c r="E5" i="17"/>
  <c r="D5" i="17"/>
  <c r="F5" i="19" l="1"/>
  <c r="G10" i="19"/>
  <c r="F14" i="19"/>
  <c r="H33" i="19"/>
  <c r="I33" i="19" s="1"/>
  <c r="G39" i="19"/>
  <c r="I113" i="19"/>
  <c r="F120" i="19"/>
  <c r="G10" i="17"/>
  <c r="F5" i="17"/>
  <c r="D92" i="17"/>
  <c r="F14" i="17"/>
  <c r="F19" i="17"/>
  <c r="F10" i="17"/>
  <c r="I10" i="17"/>
  <c r="I39" i="17"/>
  <c r="D113" i="17"/>
  <c r="F113" i="17" s="1"/>
  <c r="F120" i="17"/>
  <c r="D35" i="23"/>
  <c r="G38" i="23"/>
  <c r="I73" i="17"/>
  <c r="H121" i="19"/>
  <c r="I121" i="19" s="1"/>
  <c r="E121" i="19"/>
  <c r="F107" i="19"/>
  <c r="I107" i="19"/>
  <c r="F113" i="19"/>
  <c r="I102" i="19"/>
  <c r="F73" i="19"/>
  <c r="F72" i="19"/>
  <c r="D103" i="19"/>
  <c r="D102" i="19" s="1"/>
  <c r="G5" i="19"/>
  <c r="I5" i="19"/>
  <c r="G14" i="19"/>
  <c r="I14" i="19"/>
  <c r="G19" i="19"/>
  <c r="I19" i="19"/>
  <c r="G27" i="19"/>
  <c r="G49" i="19"/>
  <c r="G62" i="19"/>
  <c r="I62" i="19"/>
  <c r="G72" i="19"/>
  <c r="I72" i="19"/>
  <c r="E89" i="19"/>
  <c r="E92" i="19" s="1"/>
  <c r="E96" i="19" s="1"/>
  <c r="G117" i="19"/>
  <c r="G125" i="19"/>
  <c r="I125" i="19"/>
  <c r="M72" i="19"/>
  <c r="M73" i="19" s="1"/>
  <c r="G73" i="19"/>
  <c r="G113" i="19"/>
  <c r="E89" i="17"/>
  <c r="E92" i="17" s="1"/>
  <c r="E96" i="17" s="1"/>
  <c r="E37" i="17" s="1"/>
  <c r="F39" i="17"/>
  <c r="I121" i="17"/>
  <c r="G49" i="17"/>
  <c r="G72" i="17"/>
  <c r="I72" i="17"/>
  <c r="F73" i="17"/>
  <c r="I102" i="17"/>
  <c r="F107" i="17"/>
  <c r="G117" i="17"/>
  <c r="G125" i="17"/>
  <c r="I125" i="17"/>
  <c r="G5" i="17"/>
  <c r="I5" i="17"/>
  <c r="G14" i="17"/>
  <c r="I14" i="17"/>
  <c r="G19" i="17"/>
  <c r="I19" i="17"/>
  <c r="G27" i="17"/>
  <c r="F72" i="17"/>
  <c r="M72" i="17"/>
  <c r="M73" i="17" s="1"/>
  <c r="G73" i="17"/>
  <c r="G107" i="17"/>
  <c r="D93" i="17" l="1"/>
  <c r="D96" i="17" s="1"/>
  <c r="D37" i="17" s="1"/>
  <c r="D35" i="17" s="1"/>
  <c r="D33" i="17" s="1"/>
  <c r="D103" i="17"/>
  <c r="G93" i="17"/>
  <c r="F93" i="17"/>
  <c r="G113" i="17"/>
  <c r="D33" i="23"/>
  <c r="G33" i="23" s="1"/>
  <c r="G35" i="23"/>
  <c r="F89" i="17"/>
  <c r="D96" i="19"/>
  <c r="D38" i="19" s="1"/>
  <c r="D35" i="19" s="1"/>
  <c r="D33" i="19" s="1"/>
  <c r="F89" i="19"/>
  <c r="I89" i="19"/>
  <c r="G89" i="19"/>
  <c r="G38" i="19"/>
  <c r="D121" i="19"/>
  <c r="G102" i="19"/>
  <c r="I89" i="17"/>
  <c r="G89" i="17"/>
  <c r="F92" i="17"/>
  <c r="E35" i="17"/>
  <c r="I35" i="17" s="1"/>
  <c r="I92" i="17"/>
  <c r="G92" i="17"/>
  <c r="G38" i="17"/>
  <c r="D102" i="17" l="1"/>
  <c r="G102" i="17" s="1"/>
  <c r="G103" i="17"/>
  <c r="F103" i="17"/>
  <c r="F102" i="17"/>
  <c r="F92" i="19"/>
  <c r="E37" i="19"/>
  <c r="E35" i="19" s="1"/>
  <c r="I92" i="19"/>
  <c r="G92" i="19"/>
  <c r="F121" i="19"/>
  <c r="G121" i="19"/>
  <c r="E33" i="17"/>
  <c r="G35" i="17"/>
  <c r="I96" i="17"/>
  <c r="G96" i="17"/>
  <c r="F96" i="17"/>
  <c r="D121" i="17" l="1"/>
  <c r="F121" i="17" s="1"/>
  <c r="G33" i="17"/>
  <c r="I33" i="17"/>
  <c r="E33" i="19"/>
  <c r="G33" i="19" s="1"/>
  <c r="G35" i="19"/>
  <c r="I96" i="19"/>
  <c r="G96" i="19"/>
  <c r="F96" i="19"/>
  <c r="D76" i="16"/>
  <c r="D71" i="16"/>
  <c r="D70" i="16"/>
  <c r="E78" i="16"/>
  <c r="E75" i="16"/>
  <c r="E71" i="16"/>
  <c r="E70" i="16"/>
  <c r="B166" i="16"/>
  <c r="G164" i="16"/>
  <c r="I158" i="16"/>
  <c r="I157" i="16"/>
  <c r="I156" i="16"/>
  <c r="I155" i="16"/>
  <c r="I154" i="16"/>
  <c r="I151" i="16"/>
  <c r="G151" i="16"/>
  <c r="I150" i="16"/>
  <c r="G150" i="16"/>
  <c r="G149" i="16"/>
  <c r="G148" i="16"/>
  <c r="I147" i="16"/>
  <c r="G147" i="16"/>
  <c r="I146" i="16"/>
  <c r="G146" i="16"/>
  <c r="I145" i="16"/>
  <c r="G145" i="16"/>
  <c r="G144" i="16"/>
  <c r="I143" i="16"/>
  <c r="G143" i="16"/>
  <c r="I142" i="16"/>
  <c r="G142" i="16"/>
  <c r="I141" i="16"/>
  <c r="G141" i="16"/>
  <c r="I140" i="16"/>
  <c r="G140" i="16"/>
  <c r="I139" i="16"/>
  <c r="G139" i="16"/>
  <c r="I138" i="16"/>
  <c r="G138" i="16"/>
  <c r="I137" i="16"/>
  <c r="G137" i="16"/>
  <c r="I136" i="16"/>
  <c r="G136" i="16"/>
  <c r="I135" i="16"/>
  <c r="G135" i="16"/>
  <c r="G134" i="16"/>
  <c r="I133" i="16"/>
  <c r="G133" i="16"/>
  <c r="G132" i="16"/>
  <c r="I131" i="16"/>
  <c r="G131" i="16"/>
  <c r="I130" i="16"/>
  <c r="G130" i="16"/>
  <c r="F130" i="16"/>
  <c r="I129" i="16"/>
  <c r="G129" i="16"/>
  <c r="F129" i="16"/>
  <c r="H128" i="16"/>
  <c r="I128" i="16" s="1"/>
  <c r="G128" i="16"/>
  <c r="F128" i="16"/>
  <c r="I127" i="16"/>
  <c r="G127" i="16"/>
  <c r="F127" i="16"/>
  <c r="G126" i="16"/>
  <c r="H125" i="16"/>
  <c r="E125" i="16"/>
  <c r="I125" i="16" s="1"/>
  <c r="D125" i="16"/>
  <c r="I120" i="16"/>
  <c r="D120" i="16"/>
  <c r="F120" i="16" s="1"/>
  <c r="M119" i="16"/>
  <c r="I119" i="16"/>
  <c r="G119" i="16"/>
  <c r="F119" i="16"/>
  <c r="H118" i="16"/>
  <c r="I118" i="16" s="1"/>
  <c r="G118" i="16"/>
  <c r="F118" i="16"/>
  <c r="I117" i="16"/>
  <c r="D117" i="16"/>
  <c r="F117" i="16" s="1"/>
  <c r="I116" i="16"/>
  <c r="G116" i="16"/>
  <c r="I115" i="16"/>
  <c r="G115" i="16"/>
  <c r="H113" i="16"/>
  <c r="E113" i="16"/>
  <c r="I113" i="16" s="1"/>
  <c r="D113" i="16"/>
  <c r="I112" i="16"/>
  <c r="G112" i="16"/>
  <c r="F112" i="16"/>
  <c r="I111" i="16"/>
  <c r="G111" i="16"/>
  <c r="F111" i="16"/>
  <c r="I110" i="16"/>
  <c r="G110" i="16"/>
  <c r="F110" i="16"/>
  <c r="I109" i="16"/>
  <c r="G109" i="16"/>
  <c r="F109" i="16"/>
  <c r="I108" i="16"/>
  <c r="G108" i="16"/>
  <c r="H107" i="16"/>
  <c r="I107" i="16" s="1"/>
  <c r="E107" i="16"/>
  <c r="D107" i="16"/>
  <c r="F107" i="16" s="1"/>
  <c r="I106" i="16"/>
  <c r="G106" i="16"/>
  <c r="I105" i="16"/>
  <c r="G105" i="16"/>
  <c r="D103" i="16"/>
  <c r="H102" i="16"/>
  <c r="H121" i="16" s="1"/>
  <c r="E102" i="16"/>
  <c r="E121" i="16" s="1"/>
  <c r="D102" i="16"/>
  <c r="D121" i="16" s="1"/>
  <c r="G98" i="16"/>
  <c r="F98" i="16"/>
  <c r="I95" i="16"/>
  <c r="G95" i="16"/>
  <c r="F95" i="16"/>
  <c r="I94" i="16"/>
  <c r="G94" i="16"/>
  <c r="F94" i="16"/>
  <c r="D91" i="16"/>
  <c r="G91" i="16" s="1"/>
  <c r="G88" i="16"/>
  <c r="F88" i="16"/>
  <c r="I87" i="16"/>
  <c r="G87" i="16"/>
  <c r="F87" i="16"/>
  <c r="G86" i="16"/>
  <c r="F86" i="16"/>
  <c r="I85" i="16"/>
  <c r="G85" i="16"/>
  <c r="F85" i="16"/>
  <c r="I84" i="16"/>
  <c r="G84" i="16"/>
  <c r="F84" i="16"/>
  <c r="I83" i="16"/>
  <c r="G83" i="16"/>
  <c r="F83" i="16"/>
  <c r="I82" i="16"/>
  <c r="G82" i="16"/>
  <c r="F82" i="16"/>
  <c r="I81" i="16"/>
  <c r="G81" i="16"/>
  <c r="F81" i="16"/>
  <c r="I80" i="16"/>
  <c r="G80" i="16"/>
  <c r="F80" i="16"/>
  <c r="I79" i="16"/>
  <c r="G79" i="16"/>
  <c r="F79" i="16"/>
  <c r="I78" i="16"/>
  <c r="E77" i="16"/>
  <c r="I77" i="16" s="1"/>
  <c r="I76" i="16"/>
  <c r="G76" i="16"/>
  <c r="F76" i="16"/>
  <c r="I75" i="16"/>
  <c r="I74" i="16"/>
  <c r="G74" i="16"/>
  <c r="F74" i="16"/>
  <c r="H73" i="16"/>
  <c r="D73" i="16"/>
  <c r="H72" i="16"/>
  <c r="D72" i="16"/>
  <c r="M72" i="16" s="1"/>
  <c r="M73" i="16" s="1"/>
  <c r="I71" i="16"/>
  <c r="F71" i="16"/>
  <c r="G71" i="16"/>
  <c r="M70" i="16"/>
  <c r="I70" i="16"/>
  <c r="I68" i="16"/>
  <c r="G68" i="16"/>
  <c r="F68" i="16"/>
  <c r="I67" i="16"/>
  <c r="G67" i="16"/>
  <c r="F67" i="16"/>
  <c r="I65" i="16"/>
  <c r="G65" i="16"/>
  <c r="F65" i="16"/>
  <c r="I64" i="16"/>
  <c r="I63" i="16"/>
  <c r="I62" i="16"/>
  <c r="F62" i="16"/>
  <c r="D62" i="16"/>
  <c r="G62" i="16" s="1"/>
  <c r="I61" i="16"/>
  <c r="G61" i="16"/>
  <c r="F61" i="16"/>
  <c r="I60" i="16"/>
  <c r="F60" i="16"/>
  <c r="I59" i="16"/>
  <c r="G59" i="16"/>
  <c r="F59" i="16"/>
  <c r="I53" i="16"/>
  <c r="I52" i="16"/>
  <c r="H49" i="16"/>
  <c r="I49" i="16" s="1"/>
  <c r="E49" i="16"/>
  <c r="F49" i="16" s="1"/>
  <c r="D49" i="16"/>
  <c r="I46" i="16"/>
  <c r="G46" i="16"/>
  <c r="G44" i="16"/>
  <c r="G43" i="16"/>
  <c r="G42" i="16"/>
  <c r="I41" i="16"/>
  <c r="G41" i="16"/>
  <c r="G40" i="16"/>
  <c r="E39" i="16"/>
  <c r="G39" i="16" s="1"/>
  <c r="D39" i="16"/>
  <c r="F39" i="16" s="1"/>
  <c r="H35" i="16"/>
  <c r="I35" i="16" s="1"/>
  <c r="G34" i="16"/>
  <c r="H33" i="16"/>
  <c r="I32" i="16"/>
  <c r="I31" i="16"/>
  <c r="G31" i="16"/>
  <c r="I29" i="16"/>
  <c r="F29" i="16"/>
  <c r="I28" i="16"/>
  <c r="G28" i="16"/>
  <c r="F28" i="16"/>
  <c r="G27" i="16"/>
  <c r="I26" i="16"/>
  <c r="G26" i="16"/>
  <c r="F26" i="16"/>
  <c r="I25" i="16"/>
  <c r="G25" i="16"/>
  <c r="F25" i="16"/>
  <c r="I23" i="16"/>
  <c r="G23" i="16"/>
  <c r="I22" i="16"/>
  <c r="G22" i="16"/>
  <c r="F22" i="16"/>
  <c r="I21" i="16"/>
  <c r="G21" i="16"/>
  <c r="F21" i="16"/>
  <c r="I20" i="16"/>
  <c r="H19" i="16"/>
  <c r="E19" i="16"/>
  <c r="G19" i="16" s="1"/>
  <c r="D19" i="16"/>
  <c r="I18" i="16"/>
  <c r="G18" i="16"/>
  <c r="F18" i="16"/>
  <c r="I17" i="16"/>
  <c r="G17" i="16"/>
  <c r="F17" i="16"/>
  <c r="I16" i="16"/>
  <c r="G16" i="16"/>
  <c r="F16" i="16"/>
  <c r="I15" i="16"/>
  <c r="H14" i="16"/>
  <c r="I14" i="16" s="1"/>
  <c r="E14" i="16"/>
  <c r="D14" i="16"/>
  <c r="F14" i="16" s="1"/>
  <c r="I13" i="16"/>
  <c r="G13" i="16"/>
  <c r="F13" i="16"/>
  <c r="I12" i="16"/>
  <c r="G12" i="16"/>
  <c r="F12" i="16"/>
  <c r="I11" i="16"/>
  <c r="H10" i="16"/>
  <c r="E10" i="16"/>
  <c r="D10" i="16"/>
  <c r="I9" i="16"/>
  <c r="G9" i="16"/>
  <c r="F9" i="16"/>
  <c r="I8" i="16"/>
  <c r="G8" i="16"/>
  <c r="F8" i="16"/>
  <c r="I7" i="16"/>
  <c r="G7" i="16"/>
  <c r="F7" i="16"/>
  <c r="H5" i="16"/>
  <c r="I5" i="16" s="1"/>
  <c r="E5" i="16"/>
  <c r="D5" i="16"/>
  <c r="F5" i="16" s="1"/>
  <c r="E39" i="13"/>
  <c r="D39" i="13"/>
  <c r="G71" i="13"/>
  <c r="G70" i="13"/>
  <c r="F71" i="13"/>
  <c r="F70" i="13"/>
  <c r="G5" i="16" l="1"/>
  <c r="F10" i="16"/>
  <c r="G14" i="16"/>
  <c r="F19" i="16"/>
  <c r="I19" i="16"/>
  <c r="G77" i="16"/>
  <c r="I102" i="16"/>
  <c r="G121" i="17"/>
  <c r="I39" i="16"/>
  <c r="G107" i="16"/>
  <c r="F113" i="16"/>
  <c r="F125" i="16"/>
  <c r="H89" i="16"/>
  <c r="H92" i="16" s="1"/>
  <c r="H96" i="16" s="1"/>
  <c r="D89" i="16"/>
  <c r="D92" i="16" s="1"/>
  <c r="D96" i="16" s="1"/>
  <c r="I121" i="16"/>
  <c r="G121" i="16"/>
  <c r="F121" i="16"/>
  <c r="G10" i="16"/>
  <c r="I10" i="16"/>
  <c r="G49" i="16"/>
  <c r="G70" i="16"/>
  <c r="E72" i="16"/>
  <c r="G75" i="16"/>
  <c r="G78" i="16"/>
  <c r="G102" i="16"/>
  <c r="G117" i="16"/>
  <c r="G120" i="16"/>
  <c r="F70" i="16"/>
  <c r="E73" i="16"/>
  <c r="F75" i="16"/>
  <c r="F78" i="16"/>
  <c r="G113" i="16"/>
  <c r="G125" i="16"/>
  <c r="G63" i="11"/>
  <c r="I122" i="11"/>
  <c r="G38" i="16" l="1"/>
  <c r="D37" i="16"/>
  <c r="D35" i="16"/>
  <c r="D33" i="16" s="1"/>
  <c r="E89" i="16"/>
  <c r="F72" i="16"/>
  <c r="I72" i="16"/>
  <c r="G72" i="16"/>
  <c r="I73" i="16"/>
  <c r="G73" i="16"/>
  <c r="F73" i="16"/>
  <c r="I38" i="11"/>
  <c r="H33" i="11"/>
  <c r="E92" i="16" l="1"/>
  <c r="I89" i="16"/>
  <c r="G89" i="16"/>
  <c r="F89" i="16"/>
  <c r="E135" i="11"/>
  <c r="E39" i="11"/>
  <c r="E96" i="16" l="1"/>
  <c r="I92" i="16"/>
  <c r="G92" i="16"/>
  <c r="E37" i="16"/>
  <c r="E35" i="16" s="1"/>
  <c r="F92" i="16"/>
  <c r="E130" i="11"/>
  <c r="D130" i="11"/>
  <c r="D118" i="11"/>
  <c r="E119" i="11"/>
  <c r="D119" i="11"/>
  <c r="F107" i="11"/>
  <c r="D107" i="11"/>
  <c r="E77" i="11"/>
  <c r="I77" i="11" s="1"/>
  <c r="H14" i="11"/>
  <c r="H5" i="11"/>
  <c r="I96" i="16" l="1"/>
  <c r="G96" i="16"/>
  <c r="F96" i="16"/>
  <c r="E33" i="16"/>
  <c r="G35" i="16"/>
  <c r="E63" i="15"/>
  <c r="I63" i="15" s="1"/>
  <c r="E132" i="15"/>
  <c r="E133" i="15"/>
  <c r="I133" i="15" s="1"/>
  <c r="E134" i="15"/>
  <c r="G134" i="15" s="1"/>
  <c r="E135" i="15"/>
  <c r="I135" i="15" s="1"/>
  <c r="E136" i="15"/>
  <c r="I136" i="15" s="1"/>
  <c r="E137" i="15"/>
  <c r="G137" i="15" s="1"/>
  <c r="E138" i="15"/>
  <c r="E139" i="15"/>
  <c r="E140" i="15"/>
  <c r="G140" i="15" s="1"/>
  <c r="E141" i="15"/>
  <c r="I141" i="15" s="1"/>
  <c r="E142" i="15"/>
  <c r="I142" i="15" s="1"/>
  <c r="E143" i="15"/>
  <c r="G143" i="15" s="1"/>
  <c r="E144" i="15"/>
  <c r="E145" i="15"/>
  <c r="I145" i="15" s="1"/>
  <c r="E146" i="15"/>
  <c r="G146" i="15" s="1"/>
  <c r="E147" i="15"/>
  <c r="G147" i="15" s="1"/>
  <c r="E148" i="15"/>
  <c r="G148" i="15" s="1"/>
  <c r="E149" i="15"/>
  <c r="G149" i="15" s="1"/>
  <c r="E150" i="15"/>
  <c r="G150" i="15" s="1"/>
  <c r="E151" i="15"/>
  <c r="G151" i="15" s="1"/>
  <c r="E152" i="15"/>
  <c r="E153" i="15"/>
  <c r="E154" i="15"/>
  <c r="I154" i="15" s="1"/>
  <c r="E155" i="15"/>
  <c r="I155" i="15" s="1"/>
  <c r="E156" i="15"/>
  <c r="I156" i="15" s="1"/>
  <c r="E157" i="15"/>
  <c r="E158" i="15"/>
  <c r="I158" i="15" s="1"/>
  <c r="E131" i="15"/>
  <c r="G131" i="15" s="1"/>
  <c r="E71" i="15"/>
  <c r="E70" i="15"/>
  <c r="E78" i="15"/>
  <c r="G78" i="15" s="1"/>
  <c r="B166" i="15"/>
  <c r="G164" i="15"/>
  <c r="I157" i="15"/>
  <c r="I151" i="15"/>
  <c r="I150" i="15"/>
  <c r="I147" i="15"/>
  <c r="I146" i="15"/>
  <c r="G145" i="15"/>
  <c r="G144" i="15"/>
  <c r="I143" i="15"/>
  <c r="G142" i="15"/>
  <c r="G141" i="15"/>
  <c r="I139" i="15"/>
  <c r="G139" i="15"/>
  <c r="G138" i="15"/>
  <c r="I137" i="15"/>
  <c r="G136" i="15"/>
  <c r="G135" i="15"/>
  <c r="G133" i="15"/>
  <c r="G132" i="15"/>
  <c r="I131" i="15"/>
  <c r="I130" i="15"/>
  <c r="G130" i="15"/>
  <c r="F130" i="15"/>
  <c r="I129" i="15"/>
  <c r="G129" i="15"/>
  <c r="F129" i="15"/>
  <c r="F128" i="15"/>
  <c r="E128" i="15"/>
  <c r="G128" i="15" s="1"/>
  <c r="I127" i="15"/>
  <c r="G127" i="15"/>
  <c r="F127" i="15"/>
  <c r="G126" i="15"/>
  <c r="I125" i="15"/>
  <c r="E125" i="15"/>
  <c r="D125" i="15"/>
  <c r="F125" i="15" s="1"/>
  <c r="I120" i="15"/>
  <c r="F120" i="15"/>
  <c r="D120" i="15"/>
  <c r="G120" i="15" s="1"/>
  <c r="M119" i="15"/>
  <c r="I119" i="15"/>
  <c r="G119" i="15"/>
  <c r="F119" i="15"/>
  <c r="I118" i="15"/>
  <c r="F118" i="15"/>
  <c r="G118" i="15"/>
  <c r="I117" i="15"/>
  <c r="G117" i="15"/>
  <c r="F117" i="15"/>
  <c r="I116" i="15"/>
  <c r="G116" i="15"/>
  <c r="I115" i="15"/>
  <c r="G115" i="15"/>
  <c r="E113" i="15"/>
  <c r="G113" i="15" s="1"/>
  <c r="D113" i="15"/>
  <c r="I112" i="15"/>
  <c r="D112" i="15"/>
  <c r="G112" i="15" s="1"/>
  <c r="I111" i="15"/>
  <c r="D111" i="15"/>
  <c r="G111" i="15" s="1"/>
  <c r="I110" i="15"/>
  <c r="D110" i="15"/>
  <c r="G110" i="15" s="1"/>
  <c r="I109" i="15"/>
  <c r="D109" i="15"/>
  <c r="F109" i="15" s="1"/>
  <c r="G108" i="15"/>
  <c r="E107" i="15"/>
  <c r="I106" i="15"/>
  <c r="G106" i="15"/>
  <c r="I105" i="15"/>
  <c r="G105" i="15"/>
  <c r="H103" i="15"/>
  <c r="E102" i="15"/>
  <c r="G98" i="15"/>
  <c r="F98" i="15"/>
  <c r="I95" i="15"/>
  <c r="G95" i="15"/>
  <c r="F95" i="15"/>
  <c r="I94" i="15"/>
  <c r="G94" i="15"/>
  <c r="F94" i="15"/>
  <c r="D91" i="15"/>
  <c r="G91" i="15" s="1"/>
  <c r="G88" i="15"/>
  <c r="F88" i="15"/>
  <c r="I87" i="15"/>
  <c r="G87" i="15"/>
  <c r="F87" i="15"/>
  <c r="G86" i="15"/>
  <c r="F86" i="15"/>
  <c r="I85" i="15"/>
  <c r="G85" i="15"/>
  <c r="F85" i="15"/>
  <c r="I84" i="15"/>
  <c r="G84" i="15"/>
  <c r="F84" i="15"/>
  <c r="I83" i="15"/>
  <c r="G83" i="15"/>
  <c r="F83" i="15"/>
  <c r="I82" i="15"/>
  <c r="G82" i="15"/>
  <c r="F82" i="15"/>
  <c r="I81" i="15"/>
  <c r="G81" i="15"/>
  <c r="F81" i="15"/>
  <c r="I80" i="15"/>
  <c r="G80" i="15"/>
  <c r="F80" i="15"/>
  <c r="I79" i="15"/>
  <c r="G79" i="15"/>
  <c r="F79" i="15"/>
  <c r="F78" i="15"/>
  <c r="I77" i="15"/>
  <c r="G77" i="15"/>
  <c r="I76" i="15"/>
  <c r="G76" i="15"/>
  <c r="F76" i="15"/>
  <c r="I75" i="15"/>
  <c r="G75" i="15"/>
  <c r="F75" i="15"/>
  <c r="I74" i="15"/>
  <c r="G74" i="15"/>
  <c r="F74" i="15"/>
  <c r="H73" i="15"/>
  <c r="E73" i="15"/>
  <c r="I73" i="15" s="1"/>
  <c r="D73" i="15"/>
  <c r="H72" i="15"/>
  <c r="H89" i="15" s="1"/>
  <c r="H92" i="15" s="1"/>
  <c r="H96" i="15" s="1"/>
  <c r="E72" i="15"/>
  <c r="D72" i="15"/>
  <c r="D89" i="15" s="1"/>
  <c r="D92" i="15" s="1"/>
  <c r="I71" i="15"/>
  <c r="G71" i="15"/>
  <c r="F71" i="15"/>
  <c r="M70" i="15"/>
  <c r="I70" i="15"/>
  <c r="G70" i="15"/>
  <c r="F70" i="15"/>
  <c r="I68" i="15"/>
  <c r="G68" i="15"/>
  <c r="F68" i="15"/>
  <c r="I67" i="15"/>
  <c r="G67" i="15"/>
  <c r="F67" i="15"/>
  <c r="I65" i="15"/>
  <c r="G65" i="15"/>
  <c r="F65" i="15"/>
  <c r="I64" i="15"/>
  <c r="I62" i="15"/>
  <c r="D62" i="15"/>
  <c r="G62" i="15" s="1"/>
  <c r="I61" i="15"/>
  <c r="G61" i="15"/>
  <c r="F61" i="15"/>
  <c r="I60" i="15"/>
  <c r="F60" i="15"/>
  <c r="I59" i="15"/>
  <c r="G59" i="15"/>
  <c r="F59" i="15"/>
  <c r="I53" i="15"/>
  <c r="I52" i="15"/>
  <c r="H49" i="15"/>
  <c r="I49" i="15" s="1"/>
  <c r="E49" i="15"/>
  <c r="G49" i="15" s="1"/>
  <c r="D49" i="15"/>
  <c r="I46" i="15"/>
  <c r="G46" i="15"/>
  <c r="G42" i="15"/>
  <c r="I39" i="15"/>
  <c r="D39" i="15"/>
  <c r="G39" i="15" s="1"/>
  <c r="G33" i="15" s="1"/>
  <c r="I35" i="15"/>
  <c r="N33" i="15"/>
  <c r="M33" i="15"/>
  <c r="L33" i="15"/>
  <c r="K33" i="15"/>
  <c r="J33" i="15"/>
  <c r="I33" i="15"/>
  <c r="H33" i="15"/>
  <c r="I32" i="15"/>
  <c r="I31" i="15"/>
  <c r="G31" i="15"/>
  <c r="I29" i="15"/>
  <c r="G29" i="15"/>
  <c r="F29" i="15"/>
  <c r="I28" i="15"/>
  <c r="G28" i="15"/>
  <c r="F28" i="15"/>
  <c r="I27" i="15"/>
  <c r="G27" i="15"/>
  <c r="F27" i="15"/>
  <c r="I26" i="15"/>
  <c r="G26" i="15"/>
  <c r="F26" i="15"/>
  <c r="I25" i="15"/>
  <c r="G25" i="15"/>
  <c r="F25" i="15"/>
  <c r="F24" i="15"/>
  <c r="I23" i="15"/>
  <c r="G23" i="15"/>
  <c r="I22" i="15"/>
  <c r="G22" i="15"/>
  <c r="F22" i="15"/>
  <c r="I21" i="15"/>
  <c r="G21" i="15"/>
  <c r="F21" i="15"/>
  <c r="H19" i="15"/>
  <c r="E19" i="15"/>
  <c r="D19" i="15"/>
  <c r="I18" i="15"/>
  <c r="G18" i="15"/>
  <c r="F18" i="15"/>
  <c r="I17" i="15"/>
  <c r="G17" i="15"/>
  <c r="F17" i="15"/>
  <c r="I16" i="15"/>
  <c r="G16" i="15"/>
  <c r="F16" i="15"/>
  <c r="H14" i="15"/>
  <c r="I14" i="15" s="1"/>
  <c r="E14" i="15"/>
  <c r="D14" i="15"/>
  <c r="F14" i="15" s="1"/>
  <c r="I13" i="15"/>
  <c r="G13" i="15"/>
  <c r="F13" i="15"/>
  <c r="I12" i="15"/>
  <c r="G12" i="15"/>
  <c r="F12" i="15"/>
  <c r="H10" i="15"/>
  <c r="E10" i="15"/>
  <c r="F10" i="15" s="1"/>
  <c r="D10" i="15"/>
  <c r="I9" i="15"/>
  <c r="G9" i="15"/>
  <c r="F9" i="15"/>
  <c r="I8" i="15"/>
  <c r="G8" i="15"/>
  <c r="F8" i="15"/>
  <c r="I7" i="15"/>
  <c r="G7" i="15"/>
  <c r="F7" i="15"/>
  <c r="H5" i="15"/>
  <c r="E5" i="15"/>
  <c r="G5" i="15" s="1"/>
  <c r="D5" i="15"/>
  <c r="F5" i="15" l="1"/>
  <c r="I5" i="15"/>
  <c r="G14" i="15"/>
  <c r="I19" i="15"/>
  <c r="F62" i="15"/>
  <c r="E89" i="15"/>
  <c r="F73" i="15"/>
  <c r="G125" i="15"/>
  <c r="I128" i="15"/>
  <c r="D107" i="15"/>
  <c r="G107" i="15" s="1"/>
  <c r="F111" i="15"/>
  <c r="I33" i="16"/>
  <c r="G33" i="16"/>
  <c r="G109" i="15"/>
  <c r="F110" i="15"/>
  <c r="F112" i="15"/>
  <c r="E121" i="15"/>
  <c r="I121" i="15" s="1"/>
  <c r="F107" i="15"/>
  <c r="I107" i="15"/>
  <c r="I78" i="15"/>
  <c r="D93" i="15"/>
  <c r="E96" i="15"/>
  <c r="E92" i="15"/>
  <c r="I89" i="15"/>
  <c r="G89" i="15"/>
  <c r="F89" i="15"/>
  <c r="G10" i="15"/>
  <c r="F19" i="15"/>
  <c r="F39" i="15"/>
  <c r="F33" i="15" s="1"/>
  <c r="F49" i="15"/>
  <c r="F72" i="15"/>
  <c r="M72" i="15"/>
  <c r="M73" i="15" s="1"/>
  <c r="G73" i="15"/>
  <c r="F113" i="15"/>
  <c r="I113" i="15"/>
  <c r="G19" i="15"/>
  <c r="G72" i="15"/>
  <c r="I72" i="15"/>
  <c r="G92" i="15" l="1"/>
  <c r="F92" i="15"/>
  <c r="D103" i="15"/>
  <c r="G93" i="15"/>
  <c r="F93" i="15"/>
  <c r="I96" i="15"/>
  <c r="E37" i="15"/>
  <c r="D96" i="15"/>
  <c r="D38" i="15" s="1"/>
  <c r="F96" i="15" l="1"/>
  <c r="G96" i="15"/>
  <c r="G103" i="15"/>
  <c r="F103" i="15"/>
  <c r="D102" i="15"/>
  <c r="D33" i="15"/>
  <c r="D35" i="15"/>
  <c r="E35" i="15"/>
  <c r="E33" i="15"/>
  <c r="D121" i="15" l="1"/>
  <c r="F102" i="15"/>
  <c r="H102" i="15" s="1"/>
  <c r="I102" i="15" s="1"/>
  <c r="G102" i="15"/>
  <c r="B166" i="13"/>
  <c r="G164" i="13"/>
  <c r="I158" i="13"/>
  <c r="I157" i="13"/>
  <c r="I156" i="13"/>
  <c r="I155" i="13"/>
  <c r="I154" i="13"/>
  <c r="I151" i="13"/>
  <c r="G151" i="13"/>
  <c r="I150" i="13"/>
  <c r="G150" i="13"/>
  <c r="G149" i="13"/>
  <c r="G148" i="13"/>
  <c r="I147" i="13"/>
  <c r="G147" i="13"/>
  <c r="I146" i="13"/>
  <c r="G146" i="13"/>
  <c r="I145" i="13"/>
  <c r="G145" i="13"/>
  <c r="G144" i="13"/>
  <c r="I143" i="13"/>
  <c r="G143" i="13"/>
  <c r="I142" i="13"/>
  <c r="G142" i="13"/>
  <c r="I141" i="13"/>
  <c r="G141" i="13"/>
  <c r="I140" i="13"/>
  <c r="G140" i="13"/>
  <c r="I139" i="13"/>
  <c r="G139" i="13"/>
  <c r="I138" i="13"/>
  <c r="G138" i="13"/>
  <c r="I137" i="13"/>
  <c r="G137" i="13"/>
  <c r="I136" i="13"/>
  <c r="G136" i="13"/>
  <c r="I135" i="13"/>
  <c r="G135" i="13"/>
  <c r="G134" i="13"/>
  <c r="I133" i="13"/>
  <c r="G133" i="13"/>
  <c r="G132" i="13"/>
  <c r="I131" i="13"/>
  <c r="G131" i="13"/>
  <c r="I130" i="13"/>
  <c r="G130" i="13"/>
  <c r="F130" i="13"/>
  <c r="I129" i="13"/>
  <c r="G129" i="13"/>
  <c r="F129" i="13"/>
  <c r="I128" i="13"/>
  <c r="I127" i="13"/>
  <c r="G127" i="13"/>
  <c r="F127" i="13"/>
  <c r="G126" i="13"/>
  <c r="E125" i="13"/>
  <c r="I125" i="13" s="1"/>
  <c r="D125" i="13"/>
  <c r="I120" i="13"/>
  <c r="D120" i="13"/>
  <c r="G120" i="13" s="1"/>
  <c r="M119" i="13"/>
  <c r="I119" i="13"/>
  <c r="G119" i="13"/>
  <c r="F119" i="13"/>
  <c r="I118" i="13"/>
  <c r="I117" i="13"/>
  <c r="G117" i="13"/>
  <c r="F117" i="13"/>
  <c r="I116" i="13"/>
  <c r="G116" i="13"/>
  <c r="I115" i="13"/>
  <c r="G115" i="13"/>
  <c r="I112" i="13"/>
  <c r="G112" i="13"/>
  <c r="F112" i="13"/>
  <c r="I111" i="13"/>
  <c r="G111" i="13"/>
  <c r="F111" i="13"/>
  <c r="I110" i="13"/>
  <c r="G110" i="13"/>
  <c r="F110" i="13"/>
  <c r="I109" i="13"/>
  <c r="G109" i="13"/>
  <c r="F109" i="13"/>
  <c r="I108" i="13"/>
  <c r="G108" i="13"/>
  <c r="E107" i="13"/>
  <c r="I107" i="13" s="1"/>
  <c r="D107" i="13"/>
  <c r="G106" i="13"/>
  <c r="G105" i="13"/>
  <c r="E102" i="13"/>
  <c r="F102" i="13" s="1"/>
  <c r="D102" i="13"/>
  <c r="G98" i="13"/>
  <c r="F98" i="13"/>
  <c r="I95" i="13"/>
  <c r="G95" i="13"/>
  <c r="F95" i="13"/>
  <c r="I94" i="13"/>
  <c r="G94" i="13"/>
  <c r="F94" i="13"/>
  <c r="D91" i="13"/>
  <c r="G91" i="13" s="1"/>
  <c r="G88" i="13"/>
  <c r="F88" i="13"/>
  <c r="I87" i="13"/>
  <c r="G87" i="13"/>
  <c r="F87" i="13"/>
  <c r="G86" i="13"/>
  <c r="F86" i="13"/>
  <c r="I85" i="13"/>
  <c r="G85" i="13"/>
  <c r="F85" i="13"/>
  <c r="I84" i="13"/>
  <c r="G84" i="13"/>
  <c r="F84" i="13"/>
  <c r="I83" i="13"/>
  <c r="G83" i="13"/>
  <c r="F83" i="13"/>
  <c r="I82" i="13"/>
  <c r="G82" i="13"/>
  <c r="F82" i="13"/>
  <c r="I81" i="13"/>
  <c r="G81" i="13"/>
  <c r="F81" i="13"/>
  <c r="I80" i="13"/>
  <c r="G80" i="13"/>
  <c r="F80" i="13"/>
  <c r="I79" i="13"/>
  <c r="G79" i="13"/>
  <c r="F79" i="13"/>
  <c r="I78" i="13"/>
  <c r="G78" i="13"/>
  <c r="I77" i="13"/>
  <c r="G77" i="13"/>
  <c r="I76" i="13"/>
  <c r="G76" i="13"/>
  <c r="F76" i="13"/>
  <c r="I75" i="13"/>
  <c r="G75" i="13"/>
  <c r="F75" i="13"/>
  <c r="I74" i="13"/>
  <c r="G74" i="13"/>
  <c r="F74" i="13"/>
  <c r="E73" i="13"/>
  <c r="I73" i="13" s="1"/>
  <c r="D73" i="13"/>
  <c r="E72" i="13"/>
  <c r="D72" i="13"/>
  <c r="I71" i="13"/>
  <c r="I70" i="13"/>
  <c r="I68" i="13"/>
  <c r="G68" i="13"/>
  <c r="F68" i="13"/>
  <c r="I67" i="13"/>
  <c r="G67" i="13"/>
  <c r="F67" i="13"/>
  <c r="I65" i="13"/>
  <c r="G65" i="13"/>
  <c r="F65" i="13"/>
  <c r="I64" i="13"/>
  <c r="I63" i="13"/>
  <c r="I62" i="13"/>
  <c r="G62" i="13"/>
  <c r="F62" i="13"/>
  <c r="I61" i="13"/>
  <c r="G61" i="13"/>
  <c r="F61" i="13"/>
  <c r="I60" i="13"/>
  <c r="F60" i="13"/>
  <c r="I59" i="13"/>
  <c r="G59" i="13"/>
  <c r="F59" i="13"/>
  <c r="I53" i="13"/>
  <c r="I52" i="13"/>
  <c r="H49" i="13"/>
  <c r="I49" i="13" s="1"/>
  <c r="E49" i="13"/>
  <c r="G49" i="13" s="1"/>
  <c r="D49" i="13"/>
  <c r="I46" i="13"/>
  <c r="G46" i="13"/>
  <c r="G44" i="13"/>
  <c r="G43" i="13"/>
  <c r="G42" i="13"/>
  <c r="I41" i="13"/>
  <c r="G41" i="13"/>
  <c r="G40" i="13"/>
  <c r="I39" i="13"/>
  <c r="G39" i="13"/>
  <c r="G34" i="13"/>
  <c r="H33" i="13"/>
  <c r="I32" i="13"/>
  <c r="I31" i="13"/>
  <c r="G31" i="13"/>
  <c r="I29" i="13"/>
  <c r="F29" i="13"/>
  <c r="I28" i="13"/>
  <c r="G28" i="13"/>
  <c r="F28" i="13"/>
  <c r="G27" i="13"/>
  <c r="I26" i="13"/>
  <c r="G26" i="13"/>
  <c r="F26" i="13"/>
  <c r="I25" i="13"/>
  <c r="G25" i="13"/>
  <c r="F25" i="13"/>
  <c r="I23" i="13"/>
  <c r="G23" i="13"/>
  <c r="I22" i="13"/>
  <c r="G22" i="13"/>
  <c r="F22" i="13"/>
  <c r="I21" i="13"/>
  <c r="G21" i="13"/>
  <c r="F21" i="13"/>
  <c r="I20" i="13"/>
  <c r="E19" i="13"/>
  <c r="I19" i="13" s="1"/>
  <c r="D19" i="13"/>
  <c r="I18" i="13"/>
  <c r="G18" i="13"/>
  <c r="F18" i="13"/>
  <c r="I17" i="13"/>
  <c r="G17" i="13"/>
  <c r="F17" i="13"/>
  <c r="I16" i="13"/>
  <c r="G16" i="13"/>
  <c r="F16" i="13"/>
  <c r="I15" i="13"/>
  <c r="E14" i="13"/>
  <c r="D14" i="13"/>
  <c r="I13" i="13"/>
  <c r="G13" i="13"/>
  <c r="F13" i="13"/>
  <c r="I12" i="13"/>
  <c r="G12" i="13"/>
  <c r="F12" i="13"/>
  <c r="I11" i="13"/>
  <c r="E10" i="13"/>
  <c r="D10" i="13"/>
  <c r="I9" i="13"/>
  <c r="G9" i="13"/>
  <c r="F9" i="13"/>
  <c r="I8" i="13"/>
  <c r="G8" i="13"/>
  <c r="F8" i="13"/>
  <c r="I7" i="13"/>
  <c r="G7" i="13"/>
  <c r="F7" i="13"/>
  <c r="E5" i="13"/>
  <c r="I5" i="13" s="1"/>
  <c r="D5" i="13"/>
  <c r="F49" i="13" l="1"/>
  <c r="E89" i="13"/>
  <c r="I89" i="13" s="1"/>
  <c r="D89" i="13"/>
  <c r="D92" i="13" s="1"/>
  <c r="D96" i="13" s="1"/>
  <c r="D37" i="13" s="1"/>
  <c r="G72" i="13"/>
  <c r="F19" i="13"/>
  <c r="D113" i="13"/>
  <c r="D121" i="13" s="1"/>
  <c r="F120" i="13"/>
  <c r="F107" i="13"/>
  <c r="G14" i="13"/>
  <c r="F5" i="13"/>
  <c r="G107" i="13"/>
  <c r="F73" i="13"/>
  <c r="G19" i="13"/>
  <c r="F14" i="13"/>
  <c r="I14" i="13"/>
  <c r="G10" i="13"/>
  <c r="G5" i="13"/>
  <c r="G121" i="15"/>
  <c r="F121" i="15"/>
  <c r="I10" i="13"/>
  <c r="F10" i="13"/>
  <c r="F39" i="13"/>
  <c r="F72" i="13"/>
  <c r="G73" i="13"/>
  <c r="G102" i="13"/>
  <c r="I102" i="13"/>
  <c r="E113" i="13"/>
  <c r="E121" i="13" s="1"/>
  <c r="F118" i="13"/>
  <c r="F125" i="13"/>
  <c r="F128" i="13"/>
  <c r="I72" i="13"/>
  <c r="G118" i="13"/>
  <c r="G125" i="13"/>
  <c r="G128" i="13"/>
  <c r="E92" i="13" l="1"/>
  <c r="F89" i="13"/>
  <c r="G89" i="13"/>
  <c r="E37" i="13"/>
  <c r="E96" i="13"/>
  <c r="G38" i="13"/>
  <c r="D35" i="13"/>
  <c r="D33" i="13" s="1"/>
  <c r="I121" i="13"/>
  <c r="G121" i="13"/>
  <c r="F121" i="13"/>
  <c r="I92" i="13"/>
  <c r="G92" i="13"/>
  <c r="F92" i="13"/>
  <c r="F113" i="13"/>
  <c r="I113" i="13"/>
  <c r="G113" i="13"/>
  <c r="G37" i="13" l="1"/>
  <c r="F37" i="13"/>
  <c r="E35" i="13"/>
  <c r="F35" i="13" s="1"/>
  <c r="I96" i="13"/>
  <c r="G96" i="13"/>
  <c r="F96" i="13"/>
  <c r="G35" i="13" l="1"/>
  <c r="E33" i="13"/>
  <c r="I33" i="13" s="1"/>
  <c r="E104" i="12"/>
  <c r="E105" i="12"/>
  <c r="G105" i="12" s="1"/>
  <c r="D25" i="12"/>
  <c r="G33" i="13" l="1"/>
  <c r="D113" i="12"/>
  <c r="D107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4" i="12"/>
  <c r="E132" i="12"/>
  <c r="E131" i="12"/>
  <c r="E128" i="12"/>
  <c r="E127" i="12"/>
  <c r="E122" i="12"/>
  <c r="E121" i="12"/>
  <c r="E120" i="12"/>
  <c r="E119" i="12"/>
  <c r="E117" i="12"/>
  <c r="E112" i="12"/>
  <c r="E110" i="12"/>
  <c r="E109" i="12"/>
  <c r="E106" i="12"/>
  <c r="I106" i="12" s="1"/>
  <c r="E93" i="12"/>
  <c r="E78" i="12"/>
  <c r="E77" i="12"/>
  <c r="E76" i="12"/>
  <c r="E75" i="12"/>
  <c r="E74" i="12"/>
  <c r="E71" i="12"/>
  <c r="E70" i="12"/>
  <c r="I29" i="11"/>
  <c r="I28" i="11"/>
  <c r="I27" i="11"/>
  <c r="I26" i="11"/>
  <c r="I25" i="11"/>
  <c r="I22" i="11"/>
  <c r="I21" i="11"/>
  <c r="I18" i="11"/>
  <c r="I17" i="11"/>
  <c r="I16" i="11"/>
  <c r="I13" i="11"/>
  <c r="I12" i="11"/>
  <c r="I9" i="11"/>
  <c r="I8" i="11"/>
  <c r="I7" i="11"/>
  <c r="E129" i="12"/>
  <c r="E130" i="12"/>
  <c r="E127" i="11" l="1"/>
  <c r="E126" i="12" s="1"/>
  <c r="E72" i="12"/>
  <c r="E73" i="12"/>
  <c r="D102" i="12"/>
  <c r="I107" i="11"/>
  <c r="D108" i="11"/>
  <c r="E118" i="12"/>
  <c r="E111" i="12"/>
  <c r="E73" i="11"/>
  <c r="E123" i="12" l="1"/>
  <c r="D39" i="12" l="1"/>
  <c r="D126" i="12"/>
  <c r="D73" i="12" l="1"/>
  <c r="D72" i="12"/>
  <c r="D89" i="12" s="1"/>
  <c r="D38" i="12" s="1"/>
  <c r="D35" i="12" s="1"/>
  <c r="D153" i="12"/>
  <c r="E153" i="12"/>
  <c r="D154" i="12"/>
  <c r="E154" i="12"/>
  <c r="D155" i="12"/>
  <c r="E155" i="12"/>
  <c r="D156" i="12"/>
  <c r="E156" i="12"/>
  <c r="D157" i="12"/>
  <c r="E157" i="12"/>
  <c r="D158" i="12"/>
  <c r="E158" i="12"/>
  <c r="D159" i="12"/>
  <c r="E159" i="12"/>
  <c r="D60" i="12"/>
  <c r="E60" i="12"/>
  <c r="D61" i="12"/>
  <c r="E61" i="12"/>
  <c r="D62" i="12"/>
  <c r="E62" i="12"/>
  <c r="E63" i="12"/>
  <c r="D64" i="12"/>
  <c r="E64" i="12"/>
  <c r="D65" i="12"/>
  <c r="E65" i="12"/>
  <c r="E59" i="12"/>
  <c r="D59" i="12"/>
  <c r="E38" i="12"/>
  <c r="E39" i="12"/>
  <c r="H27" i="12"/>
  <c r="H28" i="12"/>
  <c r="H29" i="12"/>
  <c r="H26" i="12"/>
  <c r="D8" i="12"/>
  <c r="E8" i="12"/>
  <c r="I8" i="12" s="1"/>
  <c r="D9" i="12"/>
  <c r="E9" i="12"/>
  <c r="I9" i="12" s="1"/>
  <c r="D12" i="12"/>
  <c r="E12" i="12"/>
  <c r="I12" i="12" s="1"/>
  <c r="D13" i="12"/>
  <c r="E13" i="12"/>
  <c r="I13" i="12" s="1"/>
  <c r="D15" i="12"/>
  <c r="D16" i="12"/>
  <c r="E16" i="12"/>
  <c r="I16" i="12" s="1"/>
  <c r="D17" i="12"/>
  <c r="E17" i="12"/>
  <c r="I17" i="12" s="1"/>
  <c r="D18" i="12"/>
  <c r="E18" i="12"/>
  <c r="I18" i="12" s="1"/>
  <c r="D20" i="12"/>
  <c r="E20" i="12"/>
  <c r="D21" i="12"/>
  <c r="E21" i="12"/>
  <c r="I21" i="12" s="1"/>
  <c r="D22" i="12"/>
  <c r="E22" i="12"/>
  <c r="I22" i="12" s="1"/>
  <c r="E25" i="12"/>
  <c r="I25" i="12" s="1"/>
  <c r="D26" i="12"/>
  <c r="E26" i="12"/>
  <c r="D27" i="12"/>
  <c r="E27" i="12"/>
  <c r="D28" i="12"/>
  <c r="E28" i="12"/>
  <c r="D29" i="12"/>
  <c r="E29" i="12"/>
  <c r="E7" i="12"/>
  <c r="I7" i="12" s="1"/>
  <c r="D7" i="12"/>
  <c r="D39" i="11"/>
  <c r="H19" i="11"/>
  <c r="E10" i="11"/>
  <c r="I10" i="11" s="1"/>
  <c r="D10" i="11"/>
  <c r="D10" i="12" s="1"/>
  <c r="D5" i="11"/>
  <c r="E14" i="11"/>
  <c r="I14" i="11" s="1"/>
  <c r="D14" i="11"/>
  <c r="D14" i="12" s="1"/>
  <c r="E19" i="11"/>
  <c r="E19" i="12" s="1"/>
  <c r="I19" i="12" s="1"/>
  <c r="D19" i="11"/>
  <c r="D19" i="12" s="1"/>
  <c r="D96" i="12" l="1"/>
  <c r="E14" i="12"/>
  <c r="I14" i="12" s="1"/>
  <c r="E10" i="12"/>
  <c r="I10" i="12" s="1"/>
  <c r="I19" i="11"/>
  <c r="I26" i="12"/>
  <c r="E72" i="11"/>
  <c r="E90" i="11" s="1"/>
  <c r="G74" i="11"/>
  <c r="G79" i="11"/>
  <c r="I73" i="11"/>
  <c r="G13" i="12"/>
  <c r="H96" i="12"/>
  <c r="H33" i="12"/>
  <c r="I159" i="12"/>
  <c r="I158" i="12"/>
  <c r="I157" i="12"/>
  <c r="I156" i="12"/>
  <c r="I155" i="12"/>
  <c r="I152" i="12"/>
  <c r="I151" i="12"/>
  <c r="I148" i="12"/>
  <c r="I147" i="12"/>
  <c r="G147" i="12"/>
  <c r="G146" i="12"/>
  <c r="I146" i="12"/>
  <c r="G145" i="12"/>
  <c r="G144" i="12"/>
  <c r="G143" i="12"/>
  <c r="I143" i="12"/>
  <c r="G142" i="12"/>
  <c r="G141" i="12"/>
  <c r="G140" i="12"/>
  <c r="I140" i="12"/>
  <c r="G139" i="12"/>
  <c r="G138" i="12"/>
  <c r="G137" i="12"/>
  <c r="I137" i="12"/>
  <c r="G136" i="12"/>
  <c r="G134" i="12"/>
  <c r="I134" i="12"/>
  <c r="G132" i="12"/>
  <c r="I131" i="12"/>
  <c r="I130" i="12"/>
  <c r="G130" i="12"/>
  <c r="F130" i="12"/>
  <c r="I129" i="12"/>
  <c r="I128" i="12"/>
  <c r="F128" i="12"/>
  <c r="G128" i="12"/>
  <c r="G127" i="12"/>
  <c r="I126" i="12"/>
  <c r="F126" i="12"/>
  <c r="G121" i="12"/>
  <c r="G120" i="12"/>
  <c r="M119" i="12"/>
  <c r="F119" i="12"/>
  <c r="B118" i="12"/>
  <c r="I112" i="12"/>
  <c r="G112" i="12"/>
  <c r="F112" i="12"/>
  <c r="G111" i="12"/>
  <c r="I110" i="12"/>
  <c r="B108" i="12"/>
  <c r="G106" i="12"/>
  <c r="F88" i="12"/>
  <c r="F86" i="12"/>
  <c r="G86" i="12"/>
  <c r="I85" i="12"/>
  <c r="F85" i="12"/>
  <c r="G85" i="12"/>
  <c r="I84" i="12"/>
  <c r="F84" i="12"/>
  <c r="G84" i="12"/>
  <c r="I83" i="12"/>
  <c r="F83" i="12"/>
  <c r="G83" i="12"/>
  <c r="I82" i="12"/>
  <c r="F82" i="12"/>
  <c r="G82" i="12"/>
  <c r="I81" i="12"/>
  <c r="F81" i="12"/>
  <c r="G81" i="12"/>
  <c r="I80" i="12"/>
  <c r="F80" i="12"/>
  <c r="G80" i="12"/>
  <c r="I79" i="12"/>
  <c r="F79" i="12"/>
  <c r="G79" i="12"/>
  <c r="I78" i="12"/>
  <c r="F78" i="12"/>
  <c r="G78" i="12"/>
  <c r="G77" i="12"/>
  <c r="I76" i="12"/>
  <c r="G76" i="12"/>
  <c r="F76" i="12"/>
  <c r="G75" i="12"/>
  <c r="I74" i="12"/>
  <c r="F74" i="12"/>
  <c r="I73" i="12"/>
  <c r="F73" i="12"/>
  <c r="I72" i="12"/>
  <c r="M70" i="12"/>
  <c r="I68" i="12"/>
  <c r="G68" i="12"/>
  <c r="F68" i="12"/>
  <c r="I67" i="12"/>
  <c r="G67" i="12"/>
  <c r="F67" i="12"/>
  <c r="I65" i="12"/>
  <c r="G65" i="12"/>
  <c r="F65" i="12"/>
  <c r="I64" i="12"/>
  <c r="I63" i="12"/>
  <c r="I62" i="12"/>
  <c r="I61" i="12"/>
  <c r="G61" i="12"/>
  <c r="I60" i="12"/>
  <c r="F60" i="12"/>
  <c r="I59" i="12"/>
  <c r="I53" i="12"/>
  <c r="I52" i="12"/>
  <c r="H49" i="12"/>
  <c r="I49" i="12" s="1"/>
  <c r="F49" i="12"/>
  <c r="I46" i="12"/>
  <c r="G46" i="12"/>
  <c r="I39" i="12"/>
  <c r="G39" i="12"/>
  <c r="F39" i="12"/>
  <c r="I35" i="12"/>
  <c r="I32" i="12"/>
  <c r="H31" i="12"/>
  <c r="I31" i="12" s="1"/>
  <c r="G31" i="12"/>
  <c r="I29" i="12"/>
  <c r="I28" i="12"/>
  <c r="G28" i="12"/>
  <c r="F28" i="12"/>
  <c r="I27" i="12"/>
  <c r="G26" i="12"/>
  <c r="F26" i="12"/>
  <c r="G21" i="12"/>
  <c r="F21" i="12"/>
  <c r="G18" i="12"/>
  <c r="F18" i="12"/>
  <c r="G16" i="12"/>
  <c r="F16" i="12"/>
  <c r="F13" i="12"/>
  <c r="I11" i="12"/>
  <c r="G9" i="12"/>
  <c r="D5" i="12"/>
  <c r="F8" i="12"/>
  <c r="G7" i="12"/>
  <c r="E5" i="12"/>
  <c r="I5" i="12" s="1"/>
  <c r="K1" i="12"/>
  <c r="I160" i="11"/>
  <c r="I159" i="11"/>
  <c r="I158" i="11"/>
  <c r="I157" i="11"/>
  <c r="I156" i="11"/>
  <c r="I153" i="11"/>
  <c r="I152" i="11"/>
  <c r="I149" i="11"/>
  <c r="I148" i="11"/>
  <c r="G148" i="11"/>
  <c r="G147" i="11"/>
  <c r="G146" i="11"/>
  <c r="G145" i="11"/>
  <c r="I145" i="11"/>
  <c r="G144" i="11"/>
  <c r="G143" i="11"/>
  <c r="I143" i="11"/>
  <c r="G142" i="11"/>
  <c r="G141" i="11"/>
  <c r="G140" i="11"/>
  <c r="G139" i="11"/>
  <c r="I139" i="11"/>
  <c r="I138" i="11"/>
  <c r="G138" i="11"/>
  <c r="G137" i="11"/>
  <c r="I137" i="11"/>
  <c r="E135" i="12"/>
  <c r="G135" i="12" s="1"/>
  <c r="I135" i="11"/>
  <c r="G135" i="11"/>
  <c r="G133" i="11"/>
  <c r="I133" i="11"/>
  <c r="I132" i="11"/>
  <c r="F132" i="11"/>
  <c r="I130" i="11"/>
  <c r="G130" i="11"/>
  <c r="D127" i="11"/>
  <c r="G127" i="11" s="1"/>
  <c r="G129" i="11"/>
  <c r="G128" i="11"/>
  <c r="E126" i="11"/>
  <c r="E125" i="12" s="1"/>
  <c r="E124" i="12"/>
  <c r="G122" i="11"/>
  <c r="I121" i="11"/>
  <c r="F121" i="11"/>
  <c r="G121" i="11"/>
  <c r="M120" i="11"/>
  <c r="F120" i="11"/>
  <c r="G120" i="11"/>
  <c r="I119" i="11"/>
  <c r="F119" i="11"/>
  <c r="B119" i="11"/>
  <c r="I118" i="11"/>
  <c r="E117" i="11"/>
  <c r="G117" i="11" s="1"/>
  <c r="E116" i="11"/>
  <c r="I116" i="11" s="1"/>
  <c r="E115" i="11"/>
  <c r="E114" i="12" s="1"/>
  <c r="G113" i="11"/>
  <c r="I112" i="11"/>
  <c r="G112" i="11"/>
  <c r="F112" i="11"/>
  <c r="G111" i="11"/>
  <c r="I110" i="11"/>
  <c r="B109" i="11"/>
  <c r="G107" i="11"/>
  <c r="D106" i="11"/>
  <c r="E102" i="11"/>
  <c r="E101" i="11"/>
  <c r="E100" i="12" s="1"/>
  <c r="E100" i="11"/>
  <c r="E99" i="12" s="1"/>
  <c r="E99" i="11"/>
  <c r="E98" i="11"/>
  <c r="E97" i="12" s="1"/>
  <c r="E96" i="11"/>
  <c r="E95" i="11"/>
  <c r="E93" i="11"/>
  <c r="E92" i="12" s="1"/>
  <c r="G92" i="12" s="1"/>
  <c r="E92" i="11"/>
  <c r="E91" i="11"/>
  <c r="G91" i="11" s="1"/>
  <c r="E89" i="11"/>
  <c r="G89" i="11" s="1"/>
  <c r="E88" i="11"/>
  <c r="G88" i="11" s="1"/>
  <c r="E87" i="11"/>
  <c r="F87" i="11" s="1"/>
  <c r="E86" i="11"/>
  <c r="G86" i="11" s="1"/>
  <c r="E85" i="11"/>
  <c r="G85" i="11" s="1"/>
  <c r="G84" i="11"/>
  <c r="E83" i="11"/>
  <c r="G83" i="11" s="1"/>
  <c r="E82" i="11"/>
  <c r="G82" i="11" s="1"/>
  <c r="E81" i="11"/>
  <c r="G81" i="11" s="1"/>
  <c r="E80" i="11"/>
  <c r="G80" i="11" s="1"/>
  <c r="G77" i="11"/>
  <c r="G76" i="11"/>
  <c r="I75" i="11"/>
  <c r="F75" i="11"/>
  <c r="D73" i="11"/>
  <c r="D72" i="11"/>
  <c r="G71" i="11"/>
  <c r="M70" i="11"/>
  <c r="G70" i="11"/>
  <c r="I68" i="11"/>
  <c r="G68" i="11"/>
  <c r="F68" i="11"/>
  <c r="I67" i="11"/>
  <c r="G67" i="11"/>
  <c r="F67" i="11"/>
  <c r="I65" i="11"/>
  <c r="G65" i="11"/>
  <c r="F65" i="11"/>
  <c r="I64" i="11"/>
  <c r="I63" i="11"/>
  <c r="G62" i="11"/>
  <c r="I61" i="11"/>
  <c r="G61" i="11"/>
  <c r="F61" i="11"/>
  <c r="I60" i="11"/>
  <c r="F60" i="11"/>
  <c r="G59" i="11"/>
  <c r="E55" i="11"/>
  <c r="D55" i="11"/>
  <c r="E54" i="11"/>
  <c r="D54" i="11"/>
  <c r="I53" i="11"/>
  <c r="E53" i="11"/>
  <c r="D53" i="11"/>
  <c r="I52" i="11"/>
  <c r="E52" i="11"/>
  <c r="D52" i="11"/>
  <c r="E51" i="11"/>
  <c r="D51" i="11"/>
  <c r="E50" i="11"/>
  <c r="D50" i="11"/>
  <c r="H49" i="11"/>
  <c r="I49" i="11" s="1"/>
  <c r="E49" i="11"/>
  <c r="D49" i="11"/>
  <c r="E48" i="11"/>
  <c r="D48" i="11"/>
  <c r="I46" i="11"/>
  <c r="G46" i="11"/>
  <c r="E45" i="11"/>
  <c r="D45" i="11"/>
  <c r="E44" i="11"/>
  <c r="D44" i="11"/>
  <c r="E43" i="11"/>
  <c r="D43" i="11"/>
  <c r="E42" i="11"/>
  <c r="D42" i="11"/>
  <c r="I41" i="11"/>
  <c r="E41" i="11"/>
  <c r="D41" i="11"/>
  <c r="E40" i="11"/>
  <c r="D40" i="11"/>
  <c r="I39" i="11"/>
  <c r="F39" i="11"/>
  <c r="E36" i="11"/>
  <c r="D36" i="11"/>
  <c r="E34" i="11"/>
  <c r="E34" i="12" s="1"/>
  <c r="D34" i="11"/>
  <c r="I32" i="11"/>
  <c r="H31" i="11"/>
  <c r="I31" i="11" s="1"/>
  <c r="G31" i="11"/>
  <c r="G29" i="11"/>
  <c r="F29" i="11"/>
  <c r="G27" i="11"/>
  <c r="F27" i="11"/>
  <c r="F25" i="11"/>
  <c r="I23" i="11"/>
  <c r="G23" i="11"/>
  <c r="F22" i="11"/>
  <c r="G19" i="11"/>
  <c r="F19" i="11"/>
  <c r="G18" i="11"/>
  <c r="F17" i="11"/>
  <c r="E15" i="11"/>
  <c r="E15" i="12" s="1"/>
  <c r="G14" i="11"/>
  <c r="F14" i="11"/>
  <c r="G13" i="11"/>
  <c r="F12" i="11"/>
  <c r="I11" i="11"/>
  <c r="E11" i="11"/>
  <c r="E11" i="12" s="1"/>
  <c r="D11" i="11"/>
  <c r="D11" i="12" s="1"/>
  <c r="G10" i="11"/>
  <c r="F10" i="11"/>
  <c r="G8" i="11"/>
  <c r="F8" i="11"/>
  <c r="F7" i="11"/>
  <c r="K1" i="11"/>
  <c r="G136" i="11" l="1"/>
  <c r="G49" i="11"/>
  <c r="I90" i="11"/>
  <c r="E89" i="12"/>
  <c r="I89" i="12" s="1"/>
  <c r="F88" i="11"/>
  <c r="G106" i="11"/>
  <c r="G34" i="11"/>
  <c r="D34" i="12"/>
  <c r="G34" i="12" s="1"/>
  <c r="G40" i="11"/>
  <c r="G42" i="11"/>
  <c r="E94" i="12"/>
  <c r="G94" i="12" s="1"/>
  <c r="E97" i="11"/>
  <c r="G99" i="11"/>
  <c r="E98" i="12"/>
  <c r="G134" i="11"/>
  <c r="E133" i="12"/>
  <c r="G133" i="12" s="1"/>
  <c r="G41" i="11"/>
  <c r="G43" i="11"/>
  <c r="F49" i="11"/>
  <c r="I88" i="11"/>
  <c r="F89" i="11"/>
  <c r="G93" i="11"/>
  <c r="G95" i="11"/>
  <c r="F99" i="11"/>
  <c r="G116" i="11"/>
  <c r="E115" i="12"/>
  <c r="E114" i="11"/>
  <c r="I117" i="11"/>
  <c r="E116" i="12"/>
  <c r="G116" i="12" s="1"/>
  <c r="G44" i="11"/>
  <c r="I91" i="11"/>
  <c r="E90" i="12"/>
  <c r="G90" i="12" s="1"/>
  <c r="G92" i="11"/>
  <c r="E91" i="12"/>
  <c r="G91" i="12" s="1"/>
  <c r="G96" i="11"/>
  <c r="E95" i="12"/>
  <c r="F95" i="12" s="1"/>
  <c r="E108" i="12"/>
  <c r="E108" i="11"/>
  <c r="E107" i="12" s="1"/>
  <c r="F72" i="11"/>
  <c r="F73" i="11"/>
  <c r="D90" i="11"/>
  <c r="I72" i="11"/>
  <c r="G126" i="12"/>
  <c r="G72" i="11"/>
  <c r="F7" i="12"/>
  <c r="G10" i="12"/>
  <c r="G12" i="12"/>
  <c r="G17" i="12"/>
  <c r="G22" i="12"/>
  <c r="G49" i="12"/>
  <c r="G59" i="12"/>
  <c r="F61" i="12"/>
  <c r="G62" i="12"/>
  <c r="I70" i="12"/>
  <c r="F70" i="12"/>
  <c r="I71" i="12"/>
  <c r="F71" i="12"/>
  <c r="M72" i="12"/>
  <c r="M73" i="12" s="1"/>
  <c r="F72" i="12"/>
  <c r="I87" i="12"/>
  <c r="F87" i="12"/>
  <c r="G93" i="12"/>
  <c r="G107" i="12"/>
  <c r="I109" i="12"/>
  <c r="F109" i="12"/>
  <c r="F110" i="12"/>
  <c r="I117" i="12"/>
  <c r="F117" i="12"/>
  <c r="I118" i="12"/>
  <c r="F118" i="12"/>
  <c r="G5" i="12"/>
  <c r="G8" i="12"/>
  <c r="F9" i="12"/>
  <c r="G14" i="12"/>
  <c r="G19" i="12"/>
  <c r="G25" i="12"/>
  <c r="G27" i="12"/>
  <c r="F5" i="12"/>
  <c r="F10" i="12"/>
  <c r="F12" i="12"/>
  <c r="F14" i="12"/>
  <c r="F17" i="12"/>
  <c r="F19" i="12"/>
  <c r="F22" i="12"/>
  <c r="F25" i="12"/>
  <c r="F27" i="12"/>
  <c r="F29" i="12"/>
  <c r="F59" i="12"/>
  <c r="F62" i="12"/>
  <c r="G70" i="12"/>
  <c r="G71" i="12"/>
  <c r="G72" i="12"/>
  <c r="G73" i="12"/>
  <c r="G74" i="12"/>
  <c r="I75" i="12"/>
  <c r="F75" i="12"/>
  <c r="G87" i="12"/>
  <c r="G88" i="12"/>
  <c r="G109" i="12"/>
  <c r="G110" i="12"/>
  <c r="I111" i="12"/>
  <c r="F111" i="12"/>
  <c r="I116" i="12"/>
  <c r="G117" i="12"/>
  <c r="G118" i="12"/>
  <c r="G119" i="12"/>
  <c r="I120" i="12"/>
  <c r="F120" i="12"/>
  <c r="G122" i="12"/>
  <c r="G129" i="12"/>
  <c r="G131" i="12"/>
  <c r="I132" i="12"/>
  <c r="I136" i="12"/>
  <c r="I138" i="12"/>
  <c r="I142" i="12"/>
  <c r="I144" i="12"/>
  <c r="F129" i="12"/>
  <c r="F131" i="12"/>
  <c r="F16" i="11"/>
  <c r="F21" i="11"/>
  <c r="I24" i="11"/>
  <c r="F9" i="11"/>
  <c r="E5" i="11"/>
  <c r="G7" i="11"/>
  <c r="G9" i="11"/>
  <c r="G12" i="11"/>
  <c r="F13" i="11"/>
  <c r="G16" i="11"/>
  <c r="G17" i="11"/>
  <c r="F18" i="11"/>
  <c r="G21" i="11"/>
  <c r="G22" i="11"/>
  <c r="G24" i="11"/>
  <c r="G25" i="11"/>
  <c r="F59" i="11"/>
  <c r="I59" i="11"/>
  <c r="F62" i="11"/>
  <c r="I62" i="11"/>
  <c r="F70" i="11"/>
  <c r="I70" i="11"/>
  <c r="F71" i="11"/>
  <c r="I71" i="11"/>
  <c r="M72" i="11"/>
  <c r="M73" i="11" s="1"/>
  <c r="G73" i="11"/>
  <c r="G75" i="11"/>
  <c r="I76" i="11"/>
  <c r="F76" i="11"/>
  <c r="G87" i="11"/>
  <c r="G110" i="11"/>
  <c r="I111" i="11"/>
  <c r="F111" i="11"/>
  <c r="G119" i="11"/>
  <c r="I127" i="11"/>
  <c r="F127" i="11"/>
  <c r="I131" i="11"/>
  <c r="F131" i="11"/>
  <c r="I147" i="11"/>
  <c r="G26" i="11"/>
  <c r="G28" i="11"/>
  <c r="G39" i="11"/>
  <c r="F26" i="11"/>
  <c r="F28" i="11"/>
  <c r="I74" i="11"/>
  <c r="F74" i="11"/>
  <c r="I79" i="11"/>
  <c r="F79" i="11"/>
  <c r="I80" i="11"/>
  <c r="F80" i="11"/>
  <c r="I81" i="11"/>
  <c r="F81" i="11"/>
  <c r="I82" i="11"/>
  <c r="F82" i="11"/>
  <c r="I83" i="11"/>
  <c r="F83" i="11"/>
  <c r="I84" i="11"/>
  <c r="F84" i="11"/>
  <c r="I85" i="11"/>
  <c r="F85" i="11"/>
  <c r="I86" i="11"/>
  <c r="F86" i="11"/>
  <c r="E104" i="11"/>
  <c r="F108" i="11"/>
  <c r="F110" i="11"/>
  <c r="I113" i="11"/>
  <c r="F113" i="11"/>
  <c r="G118" i="11"/>
  <c r="I123" i="11"/>
  <c r="I129" i="11"/>
  <c r="F129" i="11"/>
  <c r="F130" i="11"/>
  <c r="G131" i="11"/>
  <c r="G132" i="11"/>
  <c r="I141" i="11"/>
  <c r="I144" i="11"/>
  <c r="I90" i="12" l="1"/>
  <c r="I95" i="12"/>
  <c r="E96" i="12"/>
  <c r="I96" i="12" s="1"/>
  <c r="E37" i="11"/>
  <c r="E35" i="11" s="1"/>
  <c r="G96" i="12"/>
  <c r="G89" i="12"/>
  <c r="F89" i="12"/>
  <c r="I97" i="11"/>
  <c r="I108" i="11"/>
  <c r="G95" i="12"/>
  <c r="G108" i="11"/>
  <c r="E33" i="11"/>
  <c r="E103" i="11"/>
  <c r="E103" i="12"/>
  <c r="G103" i="12" s="1"/>
  <c r="F107" i="12"/>
  <c r="I107" i="12"/>
  <c r="E113" i="12"/>
  <c r="I114" i="11"/>
  <c r="G115" i="12"/>
  <c r="I115" i="12"/>
  <c r="F98" i="12"/>
  <c r="G98" i="12"/>
  <c r="G90" i="11"/>
  <c r="F94" i="11"/>
  <c r="F96" i="12"/>
  <c r="D114" i="11"/>
  <c r="F118" i="11"/>
  <c r="F90" i="11"/>
  <c r="G5" i="11"/>
  <c r="F5" i="11"/>
  <c r="I5" i="11"/>
  <c r="E35" i="12" l="1"/>
  <c r="I35" i="11"/>
  <c r="E102" i="12"/>
  <c r="G102" i="12" s="1"/>
  <c r="E33" i="12"/>
  <c r="I33" i="12" s="1"/>
  <c r="I33" i="11"/>
  <c r="G113" i="12"/>
  <c r="I113" i="12"/>
  <c r="F113" i="12"/>
  <c r="D104" i="11"/>
  <c r="D103" i="11" s="1"/>
  <c r="D123" i="11" s="1"/>
  <c r="G94" i="11"/>
  <c r="D97" i="11"/>
  <c r="D37" i="11" s="1"/>
  <c r="G38" i="12"/>
  <c r="F38" i="12"/>
  <c r="I103" i="11"/>
  <c r="F114" i="11"/>
  <c r="G114" i="11"/>
  <c r="I102" i="12" l="1"/>
  <c r="F102" i="12"/>
  <c r="G97" i="11"/>
  <c r="D35" i="11"/>
  <c r="F97" i="11"/>
  <c r="G104" i="11"/>
  <c r="F104" i="11"/>
  <c r="G35" i="12"/>
  <c r="F35" i="12"/>
  <c r="G123" i="11"/>
  <c r="F123" i="11"/>
  <c r="F103" i="11"/>
  <c r="G38" i="11"/>
  <c r="G103" i="11"/>
  <c r="F38" i="11" l="1"/>
  <c r="D33" i="11"/>
  <c r="D33" i="12" s="1"/>
  <c r="G33" i="12" s="1"/>
  <c r="F35" i="11"/>
  <c r="G35" i="11"/>
  <c r="F33" i="12" l="1"/>
  <c r="F33" i="11"/>
  <c r="G33" i="11"/>
  <c r="E37" i="10" l="1"/>
  <c r="E13" i="10"/>
  <c r="D106" i="10"/>
  <c r="D106" i="9"/>
  <c r="E133" i="9"/>
  <c r="I77" i="10" l="1"/>
  <c r="B166" i="10"/>
  <c r="G164" i="10"/>
  <c r="I158" i="10"/>
  <c r="I157" i="10"/>
  <c r="I156" i="10"/>
  <c r="I155" i="10"/>
  <c r="I154" i="10"/>
  <c r="I151" i="10"/>
  <c r="G151" i="10"/>
  <c r="I150" i="10"/>
  <c r="G150" i="10"/>
  <c r="G149" i="10"/>
  <c r="G148" i="10"/>
  <c r="I147" i="10"/>
  <c r="G147" i="10"/>
  <c r="I146" i="10"/>
  <c r="G146" i="10"/>
  <c r="I145" i="10"/>
  <c r="G145" i="10"/>
  <c r="G144" i="10"/>
  <c r="I143" i="10"/>
  <c r="G143" i="10"/>
  <c r="I142" i="10"/>
  <c r="G142" i="10"/>
  <c r="I141" i="10"/>
  <c r="G141" i="10"/>
  <c r="G140" i="10"/>
  <c r="I139" i="10"/>
  <c r="G139" i="10"/>
  <c r="G138" i="10"/>
  <c r="I137" i="10"/>
  <c r="G137" i="10"/>
  <c r="I136" i="10"/>
  <c r="G136" i="10"/>
  <c r="I135" i="10"/>
  <c r="G135" i="10"/>
  <c r="G134" i="10"/>
  <c r="I133" i="10"/>
  <c r="G133" i="10"/>
  <c r="G132" i="10"/>
  <c r="I131" i="10"/>
  <c r="G131" i="10"/>
  <c r="I130" i="10"/>
  <c r="D130" i="10"/>
  <c r="F130" i="10" s="1"/>
  <c r="I129" i="10"/>
  <c r="D129" i="10"/>
  <c r="F129" i="10" s="1"/>
  <c r="E128" i="10"/>
  <c r="I128" i="10" s="1"/>
  <c r="D128" i="10"/>
  <c r="I127" i="10"/>
  <c r="D127" i="10"/>
  <c r="G127" i="10" s="1"/>
  <c r="G126" i="10"/>
  <c r="H125" i="10"/>
  <c r="I120" i="10"/>
  <c r="D120" i="10"/>
  <c r="F120" i="10" s="1"/>
  <c r="M119" i="10"/>
  <c r="I119" i="10"/>
  <c r="G119" i="10"/>
  <c r="F119" i="10"/>
  <c r="E118" i="10"/>
  <c r="I118" i="10" s="1"/>
  <c r="D118" i="10"/>
  <c r="I117" i="10"/>
  <c r="D117" i="10"/>
  <c r="G117" i="10" s="1"/>
  <c r="I116" i="10"/>
  <c r="G116" i="10"/>
  <c r="I115" i="10"/>
  <c r="G115" i="10"/>
  <c r="H113" i="10"/>
  <c r="E113" i="10"/>
  <c r="I112" i="10"/>
  <c r="D112" i="10"/>
  <c r="G112" i="10" s="1"/>
  <c r="I111" i="10"/>
  <c r="D111" i="10"/>
  <c r="G111" i="10" s="1"/>
  <c r="I110" i="10"/>
  <c r="D110" i="10"/>
  <c r="G110" i="10" s="1"/>
  <c r="I109" i="10"/>
  <c r="D109" i="10"/>
  <c r="G109" i="10" s="1"/>
  <c r="G108" i="10"/>
  <c r="H107" i="10"/>
  <c r="E107" i="10"/>
  <c r="I106" i="10"/>
  <c r="G106" i="10"/>
  <c r="I105" i="10"/>
  <c r="G105" i="10"/>
  <c r="E103" i="10"/>
  <c r="H102" i="10"/>
  <c r="H121" i="10" s="1"/>
  <c r="E102" i="10"/>
  <c r="E121" i="10" s="1"/>
  <c r="G98" i="10"/>
  <c r="F98" i="10"/>
  <c r="H96" i="10"/>
  <c r="I95" i="10"/>
  <c r="G95" i="10"/>
  <c r="F95" i="10"/>
  <c r="I94" i="10"/>
  <c r="G94" i="10"/>
  <c r="F94" i="10"/>
  <c r="D91" i="10"/>
  <c r="G91" i="10" s="1"/>
  <c r="G88" i="10"/>
  <c r="F88" i="10"/>
  <c r="I87" i="10"/>
  <c r="G87" i="10"/>
  <c r="F87" i="10"/>
  <c r="G86" i="10"/>
  <c r="F86" i="10"/>
  <c r="I85" i="10"/>
  <c r="G85" i="10"/>
  <c r="F85" i="10"/>
  <c r="I84" i="10"/>
  <c r="G84" i="10"/>
  <c r="F84" i="10"/>
  <c r="I83" i="10"/>
  <c r="G83" i="10"/>
  <c r="F83" i="10"/>
  <c r="I82" i="10"/>
  <c r="G82" i="10"/>
  <c r="F82" i="10"/>
  <c r="I81" i="10"/>
  <c r="G81" i="10"/>
  <c r="F81" i="10"/>
  <c r="I80" i="10"/>
  <c r="G80" i="10"/>
  <c r="F80" i="10"/>
  <c r="I79" i="10"/>
  <c r="G79" i="10"/>
  <c r="F79" i="10"/>
  <c r="I78" i="10"/>
  <c r="G78" i="10"/>
  <c r="F78" i="10"/>
  <c r="D77" i="10"/>
  <c r="G77" i="10" s="1"/>
  <c r="I76" i="10"/>
  <c r="D76" i="10"/>
  <c r="F76" i="10" s="1"/>
  <c r="I75" i="10"/>
  <c r="D75" i="10"/>
  <c r="F75" i="10" s="1"/>
  <c r="I74" i="10"/>
  <c r="D74" i="10"/>
  <c r="F74" i="10" s="1"/>
  <c r="E73" i="10"/>
  <c r="I73" i="10" s="1"/>
  <c r="E72" i="10"/>
  <c r="E89" i="10" s="1"/>
  <c r="E92" i="10" s="1"/>
  <c r="E96" i="10" s="1"/>
  <c r="E38" i="10" s="1"/>
  <c r="E33" i="10" s="1"/>
  <c r="I71" i="10"/>
  <c r="D71" i="10"/>
  <c r="F71" i="10" s="1"/>
  <c r="M70" i="10"/>
  <c r="I70" i="10"/>
  <c r="D70" i="10"/>
  <c r="G70" i="10" s="1"/>
  <c r="I68" i="10"/>
  <c r="G68" i="10"/>
  <c r="F68" i="10"/>
  <c r="I67" i="10"/>
  <c r="G67" i="10"/>
  <c r="F67" i="10"/>
  <c r="I65" i="10"/>
  <c r="D65" i="10"/>
  <c r="G65" i="10" s="1"/>
  <c r="I64" i="10"/>
  <c r="I63" i="10"/>
  <c r="I62" i="10"/>
  <c r="G62" i="10"/>
  <c r="F62" i="10"/>
  <c r="I61" i="10"/>
  <c r="G61" i="10"/>
  <c r="F61" i="10"/>
  <c r="I60" i="10"/>
  <c r="F60" i="10"/>
  <c r="I59" i="10"/>
  <c r="G59" i="10"/>
  <c r="F59" i="10"/>
  <c r="I53" i="10"/>
  <c r="I52" i="10"/>
  <c r="H49" i="10"/>
  <c r="I49" i="10" s="1"/>
  <c r="E49" i="10"/>
  <c r="D49" i="10"/>
  <c r="I46" i="10"/>
  <c r="G46" i="10"/>
  <c r="G42" i="10"/>
  <c r="I39" i="10"/>
  <c r="H35" i="10"/>
  <c r="I35" i="10" s="1"/>
  <c r="I33" i="10" s="1"/>
  <c r="N33" i="10"/>
  <c r="M33" i="10"/>
  <c r="L33" i="10"/>
  <c r="K33" i="10"/>
  <c r="J33" i="10"/>
  <c r="I32" i="10"/>
  <c r="I31" i="10"/>
  <c r="G31" i="10"/>
  <c r="I29" i="10"/>
  <c r="G29" i="10"/>
  <c r="F29" i="10"/>
  <c r="I28" i="10"/>
  <c r="G28" i="10"/>
  <c r="F28" i="10"/>
  <c r="I27" i="10"/>
  <c r="G27" i="10"/>
  <c r="F27" i="10"/>
  <c r="I26" i="10"/>
  <c r="G26" i="10"/>
  <c r="F26" i="10"/>
  <c r="I25" i="10"/>
  <c r="G25" i="10"/>
  <c r="F25" i="10"/>
  <c r="F24" i="10"/>
  <c r="I23" i="10"/>
  <c r="G23" i="10"/>
  <c r="I22" i="10"/>
  <c r="G22" i="10"/>
  <c r="F22" i="10"/>
  <c r="I21" i="10"/>
  <c r="G21" i="10"/>
  <c r="F21" i="10"/>
  <c r="H19" i="10"/>
  <c r="E19" i="10"/>
  <c r="D19" i="10"/>
  <c r="I18" i="10"/>
  <c r="G18" i="10"/>
  <c r="F18" i="10"/>
  <c r="I17" i="10"/>
  <c r="G17" i="10"/>
  <c r="F17" i="10"/>
  <c r="I16" i="10"/>
  <c r="G16" i="10"/>
  <c r="F16" i="10"/>
  <c r="H14" i="10"/>
  <c r="E14" i="10"/>
  <c r="G14" i="10" s="1"/>
  <c r="D14" i="10"/>
  <c r="F14" i="10" s="1"/>
  <c r="H13" i="10"/>
  <c r="I13" i="10" s="1"/>
  <c r="D13" i="10"/>
  <c r="F13" i="10" s="1"/>
  <c r="E12" i="10"/>
  <c r="I12" i="10" s="1"/>
  <c r="H10" i="10"/>
  <c r="D10" i="10"/>
  <c r="I9" i="10"/>
  <c r="G9" i="10"/>
  <c r="F9" i="10"/>
  <c r="I8" i="10"/>
  <c r="G8" i="10"/>
  <c r="F8" i="10"/>
  <c r="I7" i="10"/>
  <c r="G7" i="10"/>
  <c r="F7" i="10"/>
  <c r="H5" i="10"/>
  <c r="E5" i="10"/>
  <c r="F5" i="10" s="1"/>
  <c r="D5" i="10"/>
  <c r="D125" i="10" l="1"/>
  <c r="F19" i="10"/>
  <c r="G49" i="10"/>
  <c r="I107" i="10"/>
  <c r="G13" i="10"/>
  <c r="I14" i="10"/>
  <c r="F49" i="10"/>
  <c r="F117" i="10"/>
  <c r="F127" i="10"/>
  <c r="F109" i="10"/>
  <c r="F70" i="10"/>
  <c r="D73" i="10"/>
  <c r="F73" i="10" s="1"/>
  <c r="F111" i="10"/>
  <c r="D39" i="10"/>
  <c r="F65" i="10"/>
  <c r="G73" i="10"/>
  <c r="D107" i="10"/>
  <c r="F107" i="10" s="1"/>
  <c r="F110" i="10"/>
  <c r="F112" i="10"/>
  <c r="H33" i="10"/>
  <c r="I72" i="10"/>
  <c r="I89" i="10"/>
  <c r="I121" i="10"/>
  <c r="I5" i="10"/>
  <c r="G12" i="10"/>
  <c r="I19" i="10"/>
  <c r="G71" i="10"/>
  <c r="D72" i="10"/>
  <c r="G74" i="10"/>
  <c r="G75" i="10"/>
  <c r="G76" i="10"/>
  <c r="I113" i="10"/>
  <c r="G118" i="10"/>
  <c r="G120" i="10"/>
  <c r="G128" i="10"/>
  <c r="G129" i="10"/>
  <c r="G130" i="10"/>
  <c r="G5" i="10"/>
  <c r="G19" i="10"/>
  <c r="E10" i="10"/>
  <c r="F12" i="10"/>
  <c r="G72" i="10"/>
  <c r="I102" i="10"/>
  <c r="D113" i="10"/>
  <c r="F113" i="10" s="1"/>
  <c r="F118" i="10"/>
  <c r="E125" i="10"/>
  <c r="F128" i="10"/>
  <c r="G108" i="9"/>
  <c r="E103" i="9"/>
  <c r="E118" i="9"/>
  <c r="E113" i="9" s="1"/>
  <c r="E128" i="9"/>
  <c r="E125" i="9" s="1"/>
  <c r="G39" i="10" l="1"/>
  <c r="F39" i="10"/>
  <c r="G107" i="10"/>
  <c r="G113" i="10"/>
  <c r="M72" i="10"/>
  <c r="M73" i="10" s="1"/>
  <c r="D89" i="10"/>
  <c r="F72" i="10"/>
  <c r="I96" i="10"/>
  <c r="I125" i="10"/>
  <c r="G125" i="10"/>
  <c r="F125" i="10"/>
  <c r="G10" i="10"/>
  <c r="F10" i="10"/>
  <c r="I10" i="10"/>
  <c r="H125" i="9"/>
  <c r="I130" i="9"/>
  <c r="I129" i="9"/>
  <c r="I128" i="9"/>
  <c r="I127" i="9"/>
  <c r="H102" i="9"/>
  <c r="H113" i="9"/>
  <c r="H107" i="9"/>
  <c r="H96" i="9"/>
  <c r="H10" i="9"/>
  <c r="E10" i="9"/>
  <c r="E12" i="9"/>
  <c r="D13" i="9"/>
  <c r="D10" i="9" s="1"/>
  <c r="D65" i="9"/>
  <c r="D130" i="9"/>
  <c r="D129" i="9"/>
  <c r="D39" i="9" s="1"/>
  <c r="D128" i="9"/>
  <c r="D127" i="9"/>
  <c r="D118" i="9"/>
  <c r="G118" i="9" s="1"/>
  <c r="D117" i="9"/>
  <c r="D112" i="9"/>
  <c r="G112" i="9" s="1"/>
  <c r="D111" i="9"/>
  <c r="G111" i="9" s="1"/>
  <c r="D110" i="9"/>
  <c r="G110" i="9" s="1"/>
  <c r="D109" i="9"/>
  <c r="H121" i="9" l="1"/>
  <c r="D107" i="9"/>
  <c r="G109" i="9"/>
  <c r="I10" i="9"/>
  <c r="G10" i="9"/>
  <c r="E35" i="10"/>
  <c r="D92" i="10"/>
  <c r="G89" i="10"/>
  <c r="F89" i="10"/>
  <c r="D77" i="9"/>
  <c r="D93" i="10" l="1"/>
  <c r="G92" i="10"/>
  <c r="F92" i="10"/>
  <c r="D70" i="9"/>
  <c r="B166" i="9"/>
  <c r="G164" i="9"/>
  <c r="I158" i="9"/>
  <c r="I157" i="9"/>
  <c r="I156" i="9"/>
  <c r="I155" i="9"/>
  <c r="I154" i="9"/>
  <c r="I151" i="9"/>
  <c r="G151" i="9"/>
  <c r="I150" i="9"/>
  <c r="G150" i="9"/>
  <c r="G149" i="9"/>
  <c r="G148" i="9"/>
  <c r="I147" i="9"/>
  <c r="G147" i="9"/>
  <c r="I146" i="9"/>
  <c r="G146" i="9"/>
  <c r="I145" i="9"/>
  <c r="G145" i="9"/>
  <c r="G144" i="9"/>
  <c r="I143" i="9"/>
  <c r="G143" i="9"/>
  <c r="I142" i="9"/>
  <c r="G142" i="9"/>
  <c r="I141" i="9"/>
  <c r="G141" i="9"/>
  <c r="G140" i="9"/>
  <c r="I139" i="9"/>
  <c r="G139" i="9"/>
  <c r="G138" i="9"/>
  <c r="I137" i="9"/>
  <c r="G137" i="9"/>
  <c r="I136" i="9"/>
  <c r="G136" i="9"/>
  <c r="I135" i="9"/>
  <c r="G135" i="9"/>
  <c r="G134" i="9"/>
  <c r="I133" i="9"/>
  <c r="G133" i="9"/>
  <c r="G132" i="9"/>
  <c r="I131" i="9"/>
  <c r="G131" i="9"/>
  <c r="G130" i="9"/>
  <c r="F130" i="9"/>
  <c r="G129" i="9"/>
  <c r="F129" i="9"/>
  <c r="G128" i="9"/>
  <c r="F128" i="9"/>
  <c r="G127" i="9"/>
  <c r="F127" i="9"/>
  <c r="G126" i="9"/>
  <c r="D125" i="9"/>
  <c r="I120" i="9"/>
  <c r="D120" i="9"/>
  <c r="M119" i="9"/>
  <c r="I119" i="9"/>
  <c r="G119" i="9"/>
  <c r="F119" i="9"/>
  <c r="I118" i="9"/>
  <c r="F118" i="9"/>
  <c r="I117" i="9"/>
  <c r="G117" i="9"/>
  <c r="F117" i="9"/>
  <c r="I116" i="9"/>
  <c r="G116" i="9"/>
  <c r="I115" i="9"/>
  <c r="G115" i="9"/>
  <c r="I113" i="9"/>
  <c r="I112" i="9"/>
  <c r="F112" i="9"/>
  <c r="I111" i="9"/>
  <c r="F111" i="9"/>
  <c r="I110" i="9"/>
  <c r="F110" i="9"/>
  <c r="I109" i="9"/>
  <c r="F109" i="9"/>
  <c r="E107" i="9"/>
  <c r="I107" i="9" s="1"/>
  <c r="I106" i="9"/>
  <c r="G106" i="9"/>
  <c r="I105" i="9"/>
  <c r="G105" i="9"/>
  <c r="E102" i="9"/>
  <c r="G98" i="9"/>
  <c r="F98" i="9"/>
  <c r="I95" i="9"/>
  <c r="G95" i="9"/>
  <c r="F95" i="9"/>
  <c r="I94" i="9"/>
  <c r="G94" i="9"/>
  <c r="F94" i="9"/>
  <c r="D91" i="9"/>
  <c r="G91" i="9" s="1"/>
  <c r="G88" i="9"/>
  <c r="F88" i="9"/>
  <c r="I87" i="9"/>
  <c r="G87" i="9"/>
  <c r="F87" i="9"/>
  <c r="G86" i="9"/>
  <c r="F86" i="9"/>
  <c r="I85" i="9"/>
  <c r="G85" i="9"/>
  <c r="F85" i="9"/>
  <c r="I84" i="9"/>
  <c r="G84" i="9"/>
  <c r="F84" i="9"/>
  <c r="I83" i="9"/>
  <c r="G83" i="9"/>
  <c r="F83" i="9"/>
  <c r="I82" i="9"/>
  <c r="G82" i="9"/>
  <c r="F82" i="9"/>
  <c r="I81" i="9"/>
  <c r="G81" i="9"/>
  <c r="F81" i="9"/>
  <c r="I80" i="9"/>
  <c r="G80" i="9"/>
  <c r="F80" i="9"/>
  <c r="I79" i="9"/>
  <c r="G79" i="9"/>
  <c r="F79" i="9"/>
  <c r="I78" i="9"/>
  <c r="G78" i="9"/>
  <c r="F78" i="9"/>
  <c r="I77" i="9"/>
  <c r="G77" i="9"/>
  <c r="I76" i="9"/>
  <c r="I75" i="9"/>
  <c r="I74" i="9"/>
  <c r="E73" i="9"/>
  <c r="E72" i="9"/>
  <c r="E89" i="9" s="1"/>
  <c r="I71" i="9"/>
  <c r="M70" i="9"/>
  <c r="I70" i="9"/>
  <c r="F70" i="9"/>
  <c r="I68" i="9"/>
  <c r="G68" i="9"/>
  <c r="F68" i="9"/>
  <c r="I67" i="9"/>
  <c r="G67" i="9"/>
  <c r="F67" i="9"/>
  <c r="I65" i="9"/>
  <c r="G65" i="9"/>
  <c r="F65" i="9"/>
  <c r="I64" i="9"/>
  <c r="I63" i="9"/>
  <c r="I62" i="9"/>
  <c r="G62" i="9"/>
  <c r="F62" i="9"/>
  <c r="I61" i="9"/>
  <c r="G61" i="9"/>
  <c r="F61" i="9"/>
  <c r="I60" i="9"/>
  <c r="F60" i="9"/>
  <c r="I59" i="9"/>
  <c r="G59" i="9"/>
  <c r="F59" i="9"/>
  <c r="I53" i="9"/>
  <c r="I52" i="9"/>
  <c r="H49" i="9"/>
  <c r="I49" i="9" s="1"/>
  <c r="E49" i="9"/>
  <c r="D49" i="9"/>
  <c r="I46" i="9"/>
  <c r="G46" i="9"/>
  <c r="G42" i="9"/>
  <c r="I39" i="9"/>
  <c r="G39" i="9"/>
  <c r="F39" i="9"/>
  <c r="F33" i="9" s="1"/>
  <c r="H35" i="9"/>
  <c r="I35" i="9" s="1"/>
  <c r="N33" i="9"/>
  <c r="M33" i="9"/>
  <c r="L33" i="9"/>
  <c r="K33" i="9"/>
  <c r="J33" i="9"/>
  <c r="G33" i="9"/>
  <c r="I32" i="9"/>
  <c r="I31" i="9"/>
  <c r="G31" i="9"/>
  <c r="I29" i="9"/>
  <c r="G29" i="9"/>
  <c r="F29" i="9"/>
  <c r="I28" i="9"/>
  <c r="G28" i="9"/>
  <c r="F28" i="9"/>
  <c r="I27" i="9"/>
  <c r="G27" i="9"/>
  <c r="F27" i="9"/>
  <c r="I26" i="9"/>
  <c r="G26" i="9"/>
  <c r="F26" i="9"/>
  <c r="I25" i="9"/>
  <c r="G25" i="9"/>
  <c r="F25" i="9"/>
  <c r="F24" i="9"/>
  <c r="I23" i="9"/>
  <c r="G23" i="9"/>
  <c r="I22" i="9"/>
  <c r="G22" i="9"/>
  <c r="F22" i="9"/>
  <c r="I21" i="9"/>
  <c r="G21" i="9"/>
  <c r="F21" i="9"/>
  <c r="H19" i="9"/>
  <c r="E19" i="9"/>
  <c r="D19" i="9"/>
  <c r="I18" i="9"/>
  <c r="G18" i="9"/>
  <c r="F18" i="9"/>
  <c r="I17" i="9"/>
  <c r="G17" i="9"/>
  <c r="F17" i="9"/>
  <c r="I16" i="9"/>
  <c r="G16" i="9"/>
  <c r="F16" i="9"/>
  <c r="H14" i="9"/>
  <c r="E14" i="9"/>
  <c r="D14" i="9"/>
  <c r="I13" i="9"/>
  <c r="G13" i="9"/>
  <c r="F13" i="9"/>
  <c r="I12" i="9"/>
  <c r="G12" i="9"/>
  <c r="F12" i="9"/>
  <c r="I9" i="9"/>
  <c r="G9" i="9"/>
  <c r="F9" i="9"/>
  <c r="I8" i="9"/>
  <c r="G8" i="9"/>
  <c r="F8" i="9"/>
  <c r="I7" i="9"/>
  <c r="G7" i="9"/>
  <c r="F7" i="9"/>
  <c r="H5" i="9"/>
  <c r="E5" i="9"/>
  <c r="D5" i="9"/>
  <c r="G49" i="9" l="1"/>
  <c r="G93" i="10"/>
  <c r="D103" i="10"/>
  <c r="F93" i="10"/>
  <c r="D96" i="10"/>
  <c r="G120" i="9"/>
  <c r="D113" i="9"/>
  <c r="E121" i="9"/>
  <c r="I121" i="9" s="1"/>
  <c r="I14" i="9"/>
  <c r="G14" i="9"/>
  <c r="I5" i="9"/>
  <c r="G5" i="9"/>
  <c r="E96" i="9"/>
  <c r="D71" i="9"/>
  <c r="D74" i="9"/>
  <c r="F125" i="9"/>
  <c r="F120" i="9"/>
  <c r="F14" i="9"/>
  <c r="F5" i="9"/>
  <c r="I33" i="9"/>
  <c r="H33" i="9"/>
  <c r="I19" i="9"/>
  <c r="E92" i="9"/>
  <c r="F10" i="9"/>
  <c r="F19" i="9"/>
  <c r="F49" i="9"/>
  <c r="G70" i="9"/>
  <c r="I72" i="9"/>
  <c r="I73" i="9"/>
  <c r="G107" i="9"/>
  <c r="G113" i="9"/>
  <c r="G125" i="9"/>
  <c r="I125" i="9"/>
  <c r="G19" i="9"/>
  <c r="I102" i="9"/>
  <c r="F107" i="9"/>
  <c r="F113" i="9"/>
  <c r="D38" i="10" l="1"/>
  <c r="G96" i="10"/>
  <c r="F96" i="10"/>
  <c r="F103" i="10"/>
  <c r="D102" i="10"/>
  <c r="G103" i="10"/>
  <c r="I89" i="9"/>
  <c r="D76" i="9"/>
  <c r="F71" i="9"/>
  <c r="D72" i="9"/>
  <c r="G71" i="9"/>
  <c r="G74" i="9"/>
  <c r="F74" i="9"/>
  <c r="I96" i="9"/>
  <c r="E37" i="9"/>
  <c r="G38" i="10" l="1"/>
  <c r="F38" i="10"/>
  <c r="D121" i="10"/>
  <c r="F102" i="10"/>
  <c r="G102" i="10"/>
  <c r="D35" i="10"/>
  <c r="D33" i="10"/>
  <c r="D75" i="9"/>
  <c r="F72" i="9"/>
  <c r="G72" i="9"/>
  <c r="G76" i="9"/>
  <c r="F76" i="9"/>
  <c r="E35" i="9"/>
  <c r="E33" i="9"/>
  <c r="H148" i="8"/>
  <c r="H149" i="8"/>
  <c r="H150" i="8"/>
  <c r="H151" i="8"/>
  <c r="H147" i="8"/>
  <c r="D60" i="8"/>
  <c r="D61" i="8"/>
  <c r="D62" i="8"/>
  <c r="D63" i="8"/>
  <c r="D64" i="8"/>
  <c r="D65" i="8"/>
  <c r="E60" i="8"/>
  <c r="E61" i="8"/>
  <c r="E62" i="8"/>
  <c r="E63" i="8"/>
  <c r="E64" i="8"/>
  <c r="E65" i="8"/>
  <c r="E59" i="8"/>
  <c r="D59" i="8"/>
  <c r="I40" i="8"/>
  <c r="H40" i="8"/>
  <c r="G40" i="8"/>
  <c r="F40" i="8"/>
  <c r="I38" i="8"/>
  <c r="I37" i="8"/>
  <c r="I36" i="8"/>
  <c r="I34" i="8"/>
  <c r="G38" i="8"/>
  <c r="F38" i="8"/>
  <c r="G37" i="8"/>
  <c r="F37" i="8"/>
  <c r="G36" i="8"/>
  <c r="F36" i="8"/>
  <c r="G35" i="8"/>
  <c r="F35" i="8"/>
  <c r="G34" i="8"/>
  <c r="F34" i="8"/>
  <c r="I42" i="8"/>
  <c r="I43" i="8"/>
  <c r="I44" i="8"/>
  <c r="I45" i="8"/>
  <c r="F45" i="8"/>
  <c r="G45" i="8"/>
  <c r="F44" i="8"/>
  <c r="G44" i="8"/>
  <c r="F43" i="8"/>
  <c r="G43" i="8"/>
  <c r="F41" i="8"/>
  <c r="G41" i="8"/>
  <c r="H41" i="8"/>
  <c r="I41" i="8"/>
  <c r="E46" i="8"/>
  <c r="E45" i="8"/>
  <c r="E44" i="8"/>
  <c r="E43" i="8"/>
  <c r="E42" i="8"/>
  <c r="E41" i="8"/>
  <c r="E40" i="8"/>
  <c r="E39" i="8"/>
  <c r="E38" i="8"/>
  <c r="E36" i="8"/>
  <c r="E34" i="8"/>
  <c r="E32" i="8"/>
  <c r="D34" i="8"/>
  <c r="D36" i="8"/>
  <c r="D37" i="8"/>
  <c r="D39" i="8"/>
  <c r="D40" i="8"/>
  <c r="D41" i="8"/>
  <c r="D42" i="8"/>
  <c r="D43" i="8"/>
  <c r="D44" i="8"/>
  <c r="D45" i="8"/>
  <c r="D46" i="8"/>
  <c r="D32" i="8"/>
  <c r="F33" i="10" l="1"/>
  <c r="G33" i="10"/>
  <c r="G121" i="10"/>
  <c r="F121" i="10"/>
  <c r="F75" i="9"/>
  <c r="G75" i="9"/>
  <c r="D73" i="9"/>
  <c r="D89" i="9" s="1"/>
  <c r="G73" i="9" l="1"/>
  <c r="F73" i="9"/>
  <c r="M72" i="9"/>
  <c r="M73" i="9" s="1"/>
  <c r="D92" i="9" l="1"/>
  <c r="G89" i="9"/>
  <c r="F89" i="9"/>
  <c r="H125" i="8"/>
  <c r="G92" i="9" l="1"/>
  <c r="F92" i="9"/>
  <c r="D93" i="9"/>
  <c r="D96" i="9" s="1"/>
  <c r="D109" i="8"/>
  <c r="D110" i="8"/>
  <c r="D111" i="8"/>
  <c r="D112" i="8"/>
  <c r="D114" i="8"/>
  <c r="D115" i="8"/>
  <c r="D116" i="8"/>
  <c r="D117" i="8"/>
  <c r="D118" i="8"/>
  <c r="D108" i="8"/>
  <c r="D38" i="9" l="1"/>
  <c r="G96" i="9"/>
  <c r="F96" i="9"/>
  <c r="G93" i="9"/>
  <c r="F93" i="9"/>
  <c r="D103" i="9"/>
  <c r="E71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90" i="8"/>
  <c r="E91" i="8"/>
  <c r="E93" i="8"/>
  <c r="E94" i="8"/>
  <c r="E95" i="8"/>
  <c r="E97" i="8"/>
  <c r="E98" i="8"/>
  <c r="E99" i="8"/>
  <c r="E100" i="8"/>
  <c r="E101" i="8"/>
  <c r="E103" i="8"/>
  <c r="E104" i="8"/>
  <c r="E105" i="8"/>
  <c r="E106" i="8"/>
  <c r="E108" i="8"/>
  <c r="I108" i="8" s="1"/>
  <c r="E109" i="8"/>
  <c r="E110" i="8"/>
  <c r="E111" i="8"/>
  <c r="E112" i="8"/>
  <c r="E114" i="8"/>
  <c r="E115" i="8"/>
  <c r="E116" i="8"/>
  <c r="E117" i="8"/>
  <c r="E118" i="8"/>
  <c r="E119" i="8"/>
  <c r="E120" i="8"/>
  <c r="E122" i="8"/>
  <c r="E123" i="8"/>
  <c r="E124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70" i="8"/>
  <c r="F103" i="9" l="1"/>
  <c r="G103" i="9"/>
  <c r="D102" i="9"/>
  <c r="D33" i="9"/>
  <c r="D35" i="9"/>
  <c r="D77" i="8"/>
  <c r="D72" i="8"/>
  <c r="F102" i="9" l="1"/>
  <c r="D121" i="9"/>
  <c r="G102" i="9"/>
  <c r="B166" i="8"/>
  <c r="G164" i="8"/>
  <c r="I158" i="8"/>
  <c r="I157" i="8"/>
  <c r="I156" i="8"/>
  <c r="I155" i="8"/>
  <c r="I154" i="8"/>
  <c r="I151" i="8"/>
  <c r="G151" i="8"/>
  <c r="I150" i="8"/>
  <c r="G150" i="8"/>
  <c r="G149" i="8"/>
  <c r="G148" i="8"/>
  <c r="I147" i="8"/>
  <c r="G147" i="8"/>
  <c r="I146" i="8"/>
  <c r="G146" i="8"/>
  <c r="I145" i="8"/>
  <c r="G145" i="8"/>
  <c r="G144" i="8"/>
  <c r="I143" i="8"/>
  <c r="G143" i="8"/>
  <c r="I142" i="8"/>
  <c r="G142" i="8"/>
  <c r="I141" i="8"/>
  <c r="G141" i="8"/>
  <c r="G140" i="8"/>
  <c r="I139" i="8"/>
  <c r="G139" i="8"/>
  <c r="G138" i="8"/>
  <c r="I137" i="8"/>
  <c r="G137" i="8"/>
  <c r="I136" i="8"/>
  <c r="G136" i="8"/>
  <c r="I135" i="8"/>
  <c r="G135" i="8"/>
  <c r="G134" i="8"/>
  <c r="I133" i="8"/>
  <c r="G133" i="8"/>
  <c r="G132" i="8"/>
  <c r="I131" i="8"/>
  <c r="G131" i="8"/>
  <c r="I130" i="8"/>
  <c r="G130" i="8"/>
  <c r="F130" i="8"/>
  <c r="I129" i="8"/>
  <c r="G129" i="8"/>
  <c r="F129" i="8"/>
  <c r="I128" i="8"/>
  <c r="G128" i="8"/>
  <c r="F128" i="8"/>
  <c r="I127" i="8"/>
  <c r="G127" i="8"/>
  <c r="F127" i="8"/>
  <c r="G126" i="8"/>
  <c r="D125" i="8"/>
  <c r="I120" i="8"/>
  <c r="D120" i="8"/>
  <c r="G120" i="8" s="1"/>
  <c r="M119" i="8"/>
  <c r="I119" i="8"/>
  <c r="G119" i="8"/>
  <c r="F119" i="8"/>
  <c r="I118" i="8"/>
  <c r="G118" i="8"/>
  <c r="F118" i="8"/>
  <c r="I117" i="8"/>
  <c r="G117" i="8"/>
  <c r="F117" i="8"/>
  <c r="I116" i="8"/>
  <c r="G116" i="8"/>
  <c r="I115" i="8"/>
  <c r="G115" i="8"/>
  <c r="I112" i="8"/>
  <c r="F112" i="8"/>
  <c r="I111" i="8"/>
  <c r="F111" i="8"/>
  <c r="I110" i="8"/>
  <c r="F110" i="8"/>
  <c r="I109" i="8"/>
  <c r="F109" i="8"/>
  <c r="G108" i="8"/>
  <c r="D107" i="8"/>
  <c r="I106" i="8"/>
  <c r="G106" i="8"/>
  <c r="I105" i="8"/>
  <c r="G105" i="8"/>
  <c r="G98" i="8"/>
  <c r="F98" i="8"/>
  <c r="I95" i="8"/>
  <c r="G95" i="8"/>
  <c r="F95" i="8"/>
  <c r="I94" i="8"/>
  <c r="G94" i="8"/>
  <c r="F94" i="8"/>
  <c r="D91" i="8"/>
  <c r="G91" i="8" s="1"/>
  <c r="G88" i="8"/>
  <c r="F88" i="8"/>
  <c r="I87" i="8"/>
  <c r="G87" i="8"/>
  <c r="F87" i="8"/>
  <c r="G86" i="8"/>
  <c r="F86" i="8"/>
  <c r="I85" i="8"/>
  <c r="G85" i="8"/>
  <c r="F85" i="8"/>
  <c r="I84" i="8"/>
  <c r="G84" i="8"/>
  <c r="F84" i="8"/>
  <c r="I83" i="8"/>
  <c r="G83" i="8"/>
  <c r="F83" i="8"/>
  <c r="I82" i="8"/>
  <c r="G82" i="8"/>
  <c r="F82" i="8"/>
  <c r="I81" i="8"/>
  <c r="G81" i="8"/>
  <c r="F81" i="8"/>
  <c r="I80" i="8"/>
  <c r="G80" i="8"/>
  <c r="F80" i="8"/>
  <c r="I79" i="8"/>
  <c r="G79" i="8"/>
  <c r="F79" i="8"/>
  <c r="I78" i="8"/>
  <c r="G78" i="8"/>
  <c r="F78" i="8"/>
  <c r="I77" i="8"/>
  <c r="G77" i="8"/>
  <c r="I76" i="8"/>
  <c r="G76" i="8"/>
  <c r="F76" i="8"/>
  <c r="I75" i="8"/>
  <c r="G75" i="8"/>
  <c r="F75" i="8"/>
  <c r="I74" i="8"/>
  <c r="G74" i="8"/>
  <c r="F74" i="8"/>
  <c r="D73" i="8"/>
  <c r="I71" i="8"/>
  <c r="G71" i="8"/>
  <c r="F71" i="8"/>
  <c r="M70" i="8"/>
  <c r="I70" i="8"/>
  <c r="I68" i="8"/>
  <c r="G68" i="8"/>
  <c r="F68" i="8"/>
  <c r="I67" i="8"/>
  <c r="G67" i="8"/>
  <c r="F67" i="8"/>
  <c r="I65" i="8"/>
  <c r="G65" i="8"/>
  <c r="F65" i="8"/>
  <c r="I64" i="8"/>
  <c r="I63" i="8"/>
  <c r="I62" i="8"/>
  <c r="G62" i="8"/>
  <c r="F62" i="8"/>
  <c r="I61" i="8"/>
  <c r="G61" i="8"/>
  <c r="F61" i="8"/>
  <c r="I60" i="8"/>
  <c r="F60" i="8"/>
  <c r="I59" i="8"/>
  <c r="G59" i="8"/>
  <c r="I53" i="8"/>
  <c r="I52" i="8"/>
  <c r="H49" i="8"/>
  <c r="I49" i="8" s="1"/>
  <c r="E49" i="8"/>
  <c r="D49" i="8"/>
  <c r="I46" i="8"/>
  <c r="G46" i="8"/>
  <c r="I39" i="8"/>
  <c r="G39" i="8"/>
  <c r="H35" i="8"/>
  <c r="I32" i="8"/>
  <c r="I31" i="8"/>
  <c r="G31" i="8"/>
  <c r="I29" i="8"/>
  <c r="G29" i="8"/>
  <c r="F29" i="8"/>
  <c r="I28" i="8"/>
  <c r="G28" i="8"/>
  <c r="F28" i="8"/>
  <c r="I27" i="8"/>
  <c r="G27" i="8"/>
  <c r="F27" i="8"/>
  <c r="I26" i="8"/>
  <c r="G26" i="8"/>
  <c r="F26" i="8"/>
  <c r="I25" i="8"/>
  <c r="G25" i="8"/>
  <c r="F25" i="8"/>
  <c r="F24" i="8"/>
  <c r="I23" i="8"/>
  <c r="G23" i="8"/>
  <c r="I22" i="8"/>
  <c r="G22" i="8"/>
  <c r="F22" i="8"/>
  <c r="I21" i="8"/>
  <c r="G21" i="8"/>
  <c r="F21" i="8"/>
  <c r="H19" i="8"/>
  <c r="E19" i="8"/>
  <c r="D19" i="8"/>
  <c r="I18" i="8"/>
  <c r="G18" i="8"/>
  <c r="F18" i="8"/>
  <c r="I17" i="8"/>
  <c r="G17" i="8"/>
  <c r="F17" i="8"/>
  <c r="I16" i="8"/>
  <c r="G16" i="8"/>
  <c r="F16" i="8"/>
  <c r="H14" i="8"/>
  <c r="E14" i="8"/>
  <c r="D14" i="8"/>
  <c r="F14" i="8" s="1"/>
  <c r="I13" i="8"/>
  <c r="G13" i="8"/>
  <c r="F13" i="8"/>
  <c r="I12" i="8"/>
  <c r="G12" i="8"/>
  <c r="F12" i="8"/>
  <c r="H10" i="8"/>
  <c r="E10" i="8"/>
  <c r="D10" i="8"/>
  <c r="I9" i="8"/>
  <c r="G9" i="8"/>
  <c r="F9" i="8"/>
  <c r="I8" i="8"/>
  <c r="G8" i="8"/>
  <c r="F8" i="8"/>
  <c r="I7" i="8"/>
  <c r="G7" i="8"/>
  <c r="F7" i="8"/>
  <c r="H5" i="8"/>
  <c r="E5" i="8"/>
  <c r="G5" i="8" s="1"/>
  <c r="D5" i="8"/>
  <c r="F5" i="8" s="1"/>
  <c r="G10" i="8" l="1"/>
  <c r="I14" i="8"/>
  <c r="G49" i="8"/>
  <c r="I5" i="8"/>
  <c r="G14" i="8"/>
  <c r="I19" i="8"/>
  <c r="F49" i="8"/>
  <c r="F121" i="9"/>
  <c r="G121" i="9"/>
  <c r="D89" i="8"/>
  <c r="D92" i="8" s="1"/>
  <c r="D93" i="8" s="1"/>
  <c r="M72" i="8"/>
  <c r="M73" i="8" s="1"/>
  <c r="F10" i="8"/>
  <c r="F19" i="8"/>
  <c r="F70" i="8"/>
  <c r="F120" i="8"/>
  <c r="G19" i="8"/>
  <c r="G70" i="8"/>
  <c r="E125" i="8"/>
  <c r="F125" i="8" s="1"/>
  <c r="E107" i="8"/>
  <c r="I107" i="8" s="1"/>
  <c r="E102" i="8"/>
  <c r="I102" i="8" s="1"/>
  <c r="F59" i="8"/>
  <c r="I125" i="8" l="1"/>
  <c r="G125" i="8"/>
  <c r="F107" i="8"/>
  <c r="G107" i="8"/>
  <c r="E72" i="8"/>
  <c r="F72" i="8" s="1"/>
  <c r="E92" i="8"/>
  <c r="F92" i="8" s="1"/>
  <c r="I35" i="8"/>
  <c r="H33" i="8"/>
  <c r="D113" i="8"/>
  <c r="E73" i="8"/>
  <c r="G72" i="8"/>
  <c r="D96" i="8"/>
  <c r="E113" i="8"/>
  <c r="I113" i="8" s="1"/>
  <c r="I72" i="8" l="1"/>
  <c r="E121" i="8"/>
  <c r="I121" i="8" s="1"/>
  <c r="I33" i="8"/>
  <c r="F113" i="8"/>
  <c r="G113" i="8"/>
  <c r="I73" i="8"/>
  <c r="F73" i="8"/>
  <c r="G73" i="8"/>
  <c r="G92" i="8"/>
  <c r="E89" i="8"/>
  <c r="F93" i="8"/>
  <c r="D103" i="8"/>
  <c r="G93" i="8"/>
  <c r="E35" i="8" l="1"/>
  <c r="E33" i="8"/>
  <c r="E37" i="8"/>
  <c r="E96" i="8"/>
  <c r="I96" i="8" s="1"/>
  <c r="I89" i="8"/>
  <c r="F89" i="8"/>
  <c r="G89" i="8"/>
  <c r="F103" i="8"/>
  <c r="G103" i="8"/>
  <c r="D102" i="8"/>
  <c r="E121" i="5"/>
  <c r="E118" i="5"/>
  <c r="D35" i="8" l="1"/>
  <c r="D33" i="8"/>
  <c r="G33" i="8" s="1"/>
  <c r="D38" i="8"/>
  <c r="F96" i="8"/>
  <c r="G96" i="8"/>
  <c r="D121" i="8"/>
  <c r="F102" i="8"/>
  <c r="G102" i="8"/>
  <c r="F121" i="8" l="1"/>
  <c r="G121" i="8"/>
  <c r="F70" i="5"/>
  <c r="G70" i="5"/>
  <c r="E129" i="6" l="1"/>
  <c r="E130" i="6"/>
  <c r="E131" i="6"/>
  <c r="D131" i="6"/>
  <c r="D130" i="6"/>
  <c r="D129" i="6"/>
  <c r="E71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90" i="6"/>
  <c r="E91" i="6"/>
  <c r="E92" i="6"/>
  <c r="E93" i="6"/>
  <c r="E103" i="6" s="1"/>
  <c r="E94" i="6"/>
  <c r="E95" i="6"/>
  <c r="E97" i="6"/>
  <c r="E98" i="6"/>
  <c r="E99" i="6"/>
  <c r="E100" i="6"/>
  <c r="E101" i="6"/>
  <c r="E104" i="6"/>
  <c r="E106" i="6"/>
  <c r="E108" i="6"/>
  <c r="E109" i="6"/>
  <c r="E110" i="6"/>
  <c r="E111" i="6"/>
  <c r="E112" i="6"/>
  <c r="E114" i="6"/>
  <c r="E115" i="6"/>
  <c r="E116" i="6"/>
  <c r="E117" i="6"/>
  <c r="E118" i="6"/>
  <c r="E119" i="6"/>
  <c r="E120" i="6"/>
  <c r="E121" i="6"/>
  <c r="E123" i="6"/>
  <c r="E124" i="6"/>
  <c r="E125" i="6"/>
  <c r="E127" i="6"/>
  <c r="E128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70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5" i="6"/>
  <c r="D55" i="6"/>
  <c r="E54" i="6"/>
  <c r="D54" i="6"/>
  <c r="E53" i="6"/>
  <c r="D53" i="6"/>
  <c r="E52" i="6"/>
  <c r="D52" i="6"/>
  <c r="E51" i="6"/>
  <c r="D51" i="6"/>
  <c r="E50" i="6"/>
  <c r="D50" i="6"/>
  <c r="E48" i="6"/>
  <c r="D48" i="6"/>
  <c r="E45" i="6"/>
  <c r="D45" i="6"/>
  <c r="E44" i="6"/>
  <c r="D44" i="6"/>
  <c r="E43" i="6"/>
  <c r="D43" i="6"/>
  <c r="E42" i="6"/>
  <c r="D42" i="6"/>
  <c r="E41" i="6"/>
  <c r="D41" i="6"/>
  <c r="E40" i="6"/>
  <c r="D40" i="6"/>
  <c r="E36" i="6"/>
  <c r="E37" i="6"/>
  <c r="D37" i="6"/>
  <c r="D36" i="6"/>
  <c r="E34" i="6"/>
  <c r="D34" i="6"/>
  <c r="D8" i="6"/>
  <c r="E8" i="6"/>
  <c r="D9" i="6"/>
  <c r="E9" i="6"/>
  <c r="D11" i="6"/>
  <c r="E11" i="6"/>
  <c r="D12" i="6"/>
  <c r="E12" i="6"/>
  <c r="D13" i="6"/>
  <c r="E13" i="6"/>
  <c r="D15" i="6"/>
  <c r="E15" i="6"/>
  <c r="D16" i="6"/>
  <c r="E16" i="6"/>
  <c r="D17" i="6"/>
  <c r="E17" i="6"/>
  <c r="D18" i="6"/>
  <c r="E18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E7" i="6"/>
  <c r="D7" i="6"/>
  <c r="E19" i="5"/>
  <c r="E19" i="6" s="1"/>
  <c r="I152" i="5" l="1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5" i="5"/>
  <c r="I121" i="5"/>
  <c r="I120" i="5"/>
  <c r="I119" i="5"/>
  <c r="I118" i="5"/>
  <c r="I117" i="5"/>
  <c r="I116" i="5"/>
  <c r="I115" i="5"/>
  <c r="I114" i="5"/>
  <c r="I112" i="5"/>
  <c r="I111" i="5"/>
  <c r="I110" i="5"/>
  <c r="I109" i="5"/>
  <c r="I108" i="5"/>
  <c r="I106" i="5"/>
  <c r="I105" i="5"/>
  <c r="I104" i="5"/>
  <c r="I101" i="5"/>
  <c r="I100" i="5"/>
  <c r="I99" i="5"/>
  <c r="I98" i="5"/>
  <c r="I97" i="5"/>
  <c r="I95" i="5"/>
  <c r="I94" i="5"/>
  <c r="I93" i="5"/>
  <c r="I92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1" i="5"/>
  <c r="I70" i="5"/>
  <c r="I65" i="5"/>
  <c r="I64" i="5"/>
  <c r="I63" i="5"/>
  <c r="I62" i="5"/>
  <c r="I61" i="5"/>
  <c r="I60" i="5"/>
  <c r="I59" i="5"/>
  <c r="I54" i="5"/>
  <c r="I53" i="5"/>
  <c r="I52" i="5"/>
  <c r="I50" i="5"/>
  <c r="I48" i="5"/>
  <c r="I45" i="5"/>
  <c r="I44" i="5"/>
  <c r="I43" i="5"/>
  <c r="I42" i="5"/>
  <c r="I41" i="5"/>
  <c r="I40" i="5"/>
  <c r="I39" i="5"/>
  <c r="I37" i="5"/>
  <c r="I36" i="5"/>
  <c r="I34" i="5"/>
  <c r="I29" i="5"/>
  <c r="I26" i="5"/>
  <c r="I27" i="5"/>
  <c r="I28" i="5"/>
  <c r="I8" i="5"/>
  <c r="I9" i="5"/>
  <c r="I11" i="5"/>
  <c r="I12" i="5"/>
  <c r="I13" i="5"/>
  <c r="I15" i="5"/>
  <c r="I16" i="5"/>
  <c r="I17" i="5"/>
  <c r="I18" i="5"/>
  <c r="I20" i="5"/>
  <c r="I21" i="5"/>
  <c r="I22" i="5"/>
  <c r="I23" i="5"/>
  <c r="I24" i="5"/>
  <c r="I25" i="5"/>
  <c r="I7" i="5"/>
  <c r="D118" i="6"/>
  <c r="D112" i="6"/>
  <c r="D111" i="6"/>
  <c r="D110" i="6"/>
  <c r="D109" i="6"/>
  <c r="D75" i="6"/>
  <c r="D74" i="6"/>
  <c r="D76" i="6"/>
  <c r="D71" i="6"/>
  <c r="D77" i="6" l="1"/>
  <c r="D70" i="6" l="1"/>
  <c r="D92" i="6" l="1"/>
  <c r="D93" i="6"/>
  <c r="D129" i="5" l="1"/>
  <c r="D118" i="5"/>
  <c r="G118" i="5" s="1"/>
  <c r="A1" i="6"/>
  <c r="H2" i="6"/>
  <c r="D2" i="6"/>
  <c r="I159" i="6"/>
  <c r="I158" i="6"/>
  <c r="I157" i="6"/>
  <c r="I156" i="6"/>
  <c r="I155" i="6"/>
  <c r="I152" i="6"/>
  <c r="I151" i="6"/>
  <c r="I148" i="6"/>
  <c r="I147" i="6"/>
  <c r="G147" i="6"/>
  <c r="I146" i="6"/>
  <c r="G146" i="6"/>
  <c r="G145" i="6"/>
  <c r="I144" i="6"/>
  <c r="G144" i="6"/>
  <c r="I143" i="6"/>
  <c r="G143" i="6"/>
  <c r="I142" i="6"/>
  <c r="G142" i="6"/>
  <c r="G141" i="6"/>
  <c r="I140" i="6"/>
  <c r="G140" i="6"/>
  <c r="G139" i="6"/>
  <c r="I138" i="6"/>
  <c r="G138" i="6"/>
  <c r="I137" i="6"/>
  <c r="G137" i="6"/>
  <c r="I136" i="6"/>
  <c r="G136" i="6"/>
  <c r="G135" i="6"/>
  <c r="I134" i="6"/>
  <c r="G134" i="6"/>
  <c r="G133" i="6"/>
  <c r="I132" i="6"/>
  <c r="G132" i="6"/>
  <c r="I131" i="6"/>
  <c r="G131" i="6"/>
  <c r="F131" i="6"/>
  <c r="I130" i="6"/>
  <c r="G130" i="6"/>
  <c r="F130" i="6"/>
  <c r="I129" i="6"/>
  <c r="G129" i="6"/>
  <c r="F129" i="6"/>
  <c r="I128" i="6"/>
  <c r="G128" i="6"/>
  <c r="F128" i="6"/>
  <c r="G127" i="6"/>
  <c r="D126" i="6"/>
  <c r="G121" i="6"/>
  <c r="I120" i="6"/>
  <c r="G120" i="6"/>
  <c r="F120" i="6"/>
  <c r="M119" i="6"/>
  <c r="G119" i="6"/>
  <c r="F119" i="6"/>
  <c r="I118" i="6"/>
  <c r="G118" i="6"/>
  <c r="B118" i="6"/>
  <c r="I117" i="6"/>
  <c r="D117" i="6"/>
  <c r="G117" i="6" s="1"/>
  <c r="I116" i="6"/>
  <c r="G116" i="6"/>
  <c r="I115" i="6"/>
  <c r="G115" i="6"/>
  <c r="I112" i="6"/>
  <c r="G112" i="6"/>
  <c r="F112" i="6"/>
  <c r="I111" i="6"/>
  <c r="G111" i="6"/>
  <c r="F111" i="6"/>
  <c r="I110" i="6"/>
  <c r="G110" i="6"/>
  <c r="F110" i="6"/>
  <c r="I109" i="6"/>
  <c r="G109" i="6"/>
  <c r="F109" i="6"/>
  <c r="B108" i="6"/>
  <c r="D107" i="6"/>
  <c r="I106" i="6"/>
  <c r="D106" i="6"/>
  <c r="G106" i="6" s="1"/>
  <c r="D105" i="6"/>
  <c r="I103" i="6"/>
  <c r="G98" i="6"/>
  <c r="F98" i="6"/>
  <c r="I95" i="6"/>
  <c r="G95" i="6"/>
  <c r="F95" i="6"/>
  <c r="G94" i="6"/>
  <c r="I93" i="6"/>
  <c r="D103" i="6"/>
  <c r="G92" i="6"/>
  <c r="G91" i="6"/>
  <c r="I90" i="6"/>
  <c r="G90" i="6"/>
  <c r="G88" i="6"/>
  <c r="F88" i="6"/>
  <c r="I87" i="6"/>
  <c r="G87" i="6"/>
  <c r="F87" i="6"/>
  <c r="G86" i="6"/>
  <c r="F86" i="6"/>
  <c r="I85" i="6"/>
  <c r="G85" i="6"/>
  <c r="F85" i="6"/>
  <c r="I84" i="6"/>
  <c r="G84" i="6"/>
  <c r="F84" i="6"/>
  <c r="I83" i="6"/>
  <c r="G83" i="6"/>
  <c r="F83" i="6"/>
  <c r="I82" i="6"/>
  <c r="G82" i="6"/>
  <c r="F82" i="6"/>
  <c r="I81" i="6"/>
  <c r="G81" i="6"/>
  <c r="F81" i="6"/>
  <c r="I80" i="6"/>
  <c r="G80" i="6"/>
  <c r="F80" i="6"/>
  <c r="I79" i="6"/>
  <c r="G79" i="6"/>
  <c r="F79" i="6"/>
  <c r="I78" i="6"/>
  <c r="G78" i="6"/>
  <c r="F78" i="6"/>
  <c r="I77" i="6"/>
  <c r="G77" i="6"/>
  <c r="I76" i="6"/>
  <c r="G76" i="6"/>
  <c r="F76" i="6"/>
  <c r="I75" i="6"/>
  <c r="G75" i="6"/>
  <c r="F75" i="6"/>
  <c r="I74" i="6"/>
  <c r="G74" i="6"/>
  <c r="F74" i="6"/>
  <c r="D73" i="6"/>
  <c r="I71" i="6"/>
  <c r="G71" i="6"/>
  <c r="F71" i="6"/>
  <c r="M70" i="6"/>
  <c r="I70" i="6"/>
  <c r="D72" i="6"/>
  <c r="I68" i="6"/>
  <c r="G68" i="6"/>
  <c r="F68" i="6"/>
  <c r="I67" i="6"/>
  <c r="G67" i="6"/>
  <c r="F67" i="6"/>
  <c r="I65" i="6"/>
  <c r="G65" i="6"/>
  <c r="F65" i="6"/>
  <c r="I64" i="6"/>
  <c r="I63" i="6"/>
  <c r="I62" i="6"/>
  <c r="G62" i="6"/>
  <c r="F62" i="6"/>
  <c r="I61" i="6"/>
  <c r="G61" i="6"/>
  <c r="F61" i="6"/>
  <c r="I60" i="6"/>
  <c r="F60" i="6"/>
  <c r="I59" i="6"/>
  <c r="G59" i="6"/>
  <c r="F59" i="6"/>
  <c r="I53" i="6"/>
  <c r="I52" i="6"/>
  <c r="H49" i="6"/>
  <c r="I49" i="6" s="1"/>
  <c r="I46" i="6"/>
  <c r="G46" i="6"/>
  <c r="G44" i="6"/>
  <c r="G43" i="6"/>
  <c r="G42" i="6"/>
  <c r="I41" i="6"/>
  <c r="G41" i="6"/>
  <c r="G40" i="6"/>
  <c r="E35" i="6"/>
  <c r="G34" i="6"/>
  <c r="I32" i="6"/>
  <c r="I31" i="6"/>
  <c r="H31" i="6"/>
  <c r="G31" i="6"/>
  <c r="I29" i="6"/>
  <c r="G29" i="6"/>
  <c r="F29" i="6"/>
  <c r="I28" i="6"/>
  <c r="G28" i="6"/>
  <c r="F28" i="6"/>
  <c r="I27" i="6"/>
  <c r="G27" i="6"/>
  <c r="F27" i="6"/>
  <c r="I26" i="6"/>
  <c r="G26" i="6"/>
  <c r="F26" i="6"/>
  <c r="I25" i="6"/>
  <c r="G25" i="6"/>
  <c r="F25" i="6"/>
  <c r="I24" i="6"/>
  <c r="G24" i="6"/>
  <c r="F24" i="6"/>
  <c r="I23" i="6"/>
  <c r="G23" i="6"/>
  <c r="I22" i="6"/>
  <c r="G22" i="6"/>
  <c r="F22" i="6"/>
  <c r="I21" i="6"/>
  <c r="G21" i="6"/>
  <c r="F21" i="6"/>
  <c r="I19" i="6"/>
  <c r="I18" i="6"/>
  <c r="G18" i="6"/>
  <c r="F18" i="6"/>
  <c r="I17" i="6"/>
  <c r="G17" i="6"/>
  <c r="F17" i="6"/>
  <c r="I16" i="6"/>
  <c r="G16" i="6"/>
  <c r="F16" i="6"/>
  <c r="I13" i="6"/>
  <c r="G13" i="6"/>
  <c r="F13" i="6"/>
  <c r="I12" i="6"/>
  <c r="G12" i="6"/>
  <c r="F12" i="6"/>
  <c r="I11" i="6"/>
  <c r="G9" i="6"/>
  <c r="F9" i="6"/>
  <c r="I8" i="6"/>
  <c r="G8" i="6"/>
  <c r="F8" i="6"/>
  <c r="I7" i="6"/>
  <c r="G7" i="6"/>
  <c r="F7" i="6"/>
  <c r="E5" i="6"/>
  <c r="D5" i="6"/>
  <c r="K1" i="6"/>
  <c r="I159" i="5"/>
  <c r="I158" i="5"/>
  <c r="I157" i="5"/>
  <c r="I156" i="5"/>
  <c r="I155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F131" i="5"/>
  <c r="G130" i="5"/>
  <c r="F130" i="5"/>
  <c r="G129" i="5"/>
  <c r="F129" i="5"/>
  <c r="G128" i="5"/>
  <c r="F128" i="5"/>
  <c r="G127" i="5"/>
  <c r="H126" i="5"/>
  <c r="E126" i="5"/>
  <c r="D126" i="5"/>
  <c r="G121" i="5"/>
  <c r="G120" i="5"/>
  <c r="F120" i="5"/>
  <c r="M119" i="5"/>
  <c r="G119" i="5"/>
  <c r="F119" i="5"/>
  <c r="B118" i="5"/>
  <c r="D117" i="5"/>
  <c r="G116" i="5"/>
  <c r="G115" i="5"/>
  <c r="H113" i="5"/>
  <c r="E113" i="5"/>
  <c r="E107" i="5" s="1"/>
  <c r="G112" i="5"/>
  <c r="F112" i="5"/>
  <c r="G111" i="5"/>
  <c r="F111" i="5"/>
  <c r="G110" i="5"/>
  <c r="F110" i="5"/>
  <c r="G109" i="5"/>
  <c r="F109" i="5"/>
  <c r="H107" i="5"/>
  <c r="D106" i="5"/>
  <c r="G106" i="5" s="1"/>
  <c r="E105" i="5"/>
  <c r="D105" i="5"/>
  <c r="H103" i="5"/>
  <c r="I103" i="5" s="1"/>
  <c r="E103" i="5"/>
  <c r="G98" i="5"/>
  <c r="F98" i="5"/>
  <c r="G95" i="5"/>
  <c r="F95" i="5"/>
  <c r="G94" i="5"/>
  <c r="D93" i="5"/>
  <c r="D103" i="5" s="1"/>
  <c r="G92" i="5"/>
  <c r="G91" i="5"/>
  <c r="I90" i="5"/>
  <c r="G90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G76" i="5"/>
  <c r="F76" i="5"/>
  <c r="G75" i="5"/>
  <c r="F75" i="5"/>
  <c r="G74" i="5"/>
  <c r="F74" i="5"/>
  <c r="H73" i="5"/>
  <c r="E73" i="5"/>
  <c r="D73" i="5"/>
  <c r="H72" i="5"/>
  <c r="E72" i="5"/>
  <c r="E89" i="5" s="1"/>
  <c r="E89" i="6" s="1"/>
  <c r="I89" i="6" s="1"/>
  <c r="G71" i="5"/>
  <c r="F71" i="5"/>
  <c r="M70" i="5"/>
  <c r="D72" i="5"/>
  <c r="I68" i="5"/>
  <c r="G68" i="5"/>
  <c r="F68" i="5"/>
  <c r="I67" i="5"/>
  <c r="G67" i="5"/>
  <c r="F67" i="5"/>
  <c r="G65" i="5"/>
  <c r="F65" i="5"/>
  <c r="G62" i="5"/>
  <c r="F62" i="5"/>
  <c r="G61" i="5"/>
  <c r="F61" i="5"/>
  <c r="F60" i="5"/>
  <c r="G59" i="5"/>
  <c r="F59" i="5"/>
  <c r="H49" i="5"/>
  <c r="I49" i="5" s="1"/>
  <c r="E49" i="5"/>
  <c r="F49" i="5" s="1"/>
  <c r="D49" i="5"/>
  <c r="D49" i="6" s="1"/>
  <c r="I46" i="5"/>
  <c r="G46" i="5"/>
  <c r="G44" i="5"/>
  <c r="G43" i="5"/>
  <c r="G42" i="5"/>
  <c r="G41" i="5"/>
  <c r="G40" i="5"/>
  <c r="D39" i="5"/>
  <c r="D39" i="6" s="1"/>
  <c r="E35" i="5"/>
  <c r="G34" i="5"/>
  <c r="I32" i="5"/>
  <c r="H31" i="5"/>
  <c r="I31" i="5" s="1"/>
  <c r="G31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G22" i="5"/>
  <c r="F22" i="5"/>
  <c r="G21" i="5"/>
  <c r="F21" i="5"/>
  <c r="H19" i="5"/>
  <c r="I19" i="5"/>
  <c r="D19" i="5"/>
  <c r="G18" i="5"/>
  <c r="F18" i="5"/>
  <c r="G17" i="5"/>
  <c r="F17" i="5"/>
  <c r="G16" i="5"/>
  <c r="F16" i="5"/>
  <c r="H14" i="5"/>
  <c r="E14" i="5"/>
  <c r="D14" i="5"/>
  <c r="D14" i="6" s="1"/>
  <c r="G13" i="5"/>
  <c r="F13" i="5"/>
  <c r="G12" i="5"/>
  <c r="F12" i="5"/>
  <c r="H10" i="5"/>
  <c r="E10" i="5"/>
  <c r="D10" i="5"/>
  <c r="D10" i="6" s="1"/>
  <c r="G9" i="5"/>
  <c r="F9" i="5"/>
  <c r="G8" i="5"/>
  <c r="F8" i="5"/>
  <c r="G7" i="5"/>
  <c r="F7" i="5"/>
  <c r="H5" i="5"/>
  <c r="E5" i="5"/>
  <c r="D5" i="5"/>
  <c r="K1" i="5"/>
  <c r="I10" i="5" l="1"/>
  <c r="E10" i="6"/>
  <c r="I14" i="5"/>
  <c r="E14" i="6"/>
  <c r="F19" i="5"/>
  <c r="D19" i="6"/>
  <c r="F19" i="6" s="1"/>
  <c r="H89" i="5"/>
  <c r="G49" i="5"/>
  <c r="E49" i="6"/>
  <c r="E96" i="5"/>
  <c r="E96" i="6" s="1"/>
  <c r="I96" i="6" s="1"/>
  <c r="G105" i="5"/>
  <c r="E105" i="6"/>
  <c r="G105" i="6" s="1"/>
  <c r="E102" i="5"/>
  <c r="G117" i="5"/>
  <c r="D113" i="5"/>
  <c r="D107" i="5" s="1"/>
  <c r="D102" i="5" s="1"/>
  <c r="F102" i="5" s="1"/>
  <c r="F107" i="5"/>
  <c r="G39" i="5"/>
  <c r="E39" i="6"/>
  <c r="G39" i="6" s="1"/>
  <c r="E126" i="6"/>
  <c r="I126" i="6" s="1"/>
  <c r="I126" i="5"/>
  <c r="E113" i="6"/>
  <c r="I113" i="5"/>
  <c r="E107" i="6"/>
  <c r="E102" i="6" s="1"/>
  <c r="I107" i="5"/>
  <c r="E73" i="6"/>
  <c r="I73" i="6" s="1"/>
  <c r="I73" i="5"/>
  <c r="E72" i="6"/>
  <c r="G72" i="6" s="1"/>
  <c r="I72" i="5"/>
  <c r="G5" i="6"/>
  <c r="D102" i="6"/>
  <c r="G102" i="6" s="1"/>
  <c r="F117" i="6"/>
  <c r="I113" i="6"/>
  <c r="G107" i="6"/>
  <c r="G93" i="6"/>
  <c r="I72" i="6"/>
  <c r="I14" i="6"/>
  <c r="G19" i="6"/>
  <c r="I10" i="6"/>
  <c r="G10" i="6"/>
  <c r="G10" i="5"/>
  <c r="I5" i="5"/>
  <c r="F117" i="5"/>
  <c r="E122" i="5"/>
  <c r="G107" i="5"/>
  <c r="G93" i="5"/>
  <c r="G19" i="5"/>
  <c r="F10" i="5"/>
  <c r="D89" i="6"/>
  <c r="G89" i="6" s="1"/>
  <c r="M72" i="6"/>
  <c r="M73" i="6" s="1"/>
  <c r="F72" i="6"/>
  <c r="I35" i="6"/>
  <c r="I5" i="6"/>
  <c r="F5" i="6"/>
  <c r="F14" i="6"/>
  <c r="E33" i="6"/>
  <c r="I39" i="6"/>
  <c r="F70" i="6"/>
  <c r="F103" i="6"/>
  <c r="F106" i="6"/>
  <c r="D113" i="6"/>
  <c r="F118" i="6"/>
  <c r="G14" i="6"/>
  <c r="G70" i="6"/>
  <c r="G103" i="6"/>
  <c r="D89" i="5"/>
  <c r="M72" i="5"/>
  <c r="M73" i="5" s="1"/>
  <c r="F72" i="5"/>
  <c r="G5" i="5"/>
  <c r="G14" i="5"/>
  <c r="F5" i="5"/>
  <c r="F14" i="5"/>
  <c r="E33" i="5"/>
  <c r="F39" i="5"/>
  <c r="G72" i="5"/>
  <c r="F73" i="5"/>
  <c r="H102" i="5"/>
  <c r="F103" i="5"/>
  <c r="F106" i="5"/>
  <c r="F113" i="5"/>
  <c r="F118" i="5"/>
  <c r="F126" i="5"/>
  <c r="G73" i="5"/>
  <c r="G103" i="5"/>
  <c r="G126" i="5"/>
  <c r="E19" i="4"/>
  <c r="H122" i="5" l="1"/>
  <c r="I102" i="5"/>
  <c r="I9" i="6"/>
  <c r="F10" i="6"/>
  <c r="G49" i="6"/>
  <c r="F49" i="6"/>
  <c r="I89" i="5"/>
  <c r="H96" i="5"/>
  <c r="F39" i="6"/>
  <c r="I107" i="6"/>
  <c r="F102" i="6"/>
  <c r="F107" i="6"/>
  <c r="F113" i="6"/>
  <c r="F126" i="6"/>
  <c r="G126" i="6"/>
  <c r="E122" i="6"/>
  <c r="I122" i="6" s="1"/>
  <c r="I122" i="5"/>
  <c r="G73" i="6"/>
  <c r="F73" i="6"/>
  <c r="D122" i="6"/>
  <c r="F122" i="6" s="1"/>
  <c r="G113" i="6"/>
  <c r="G102" i="5"/>
  <c r="I102" i="6"/>
  <c r="I33" i="6"/>
  <c r="D96" i="6"/>
  <c r="F89" i="6"/>
  <c r="D122" i="5"/>
  <c r="G113" i="5"/>
  <c r="D96" i="5"/>
  <c r="G89" i="5"/>
  <c r="F89" i="5"/>
  <c r="D93" i="4"/>
  <c r="I159" i="4"/>
  <c r="I158" i="4"/>
  <c r="I157" i="4"/>
  <c r="I156" i="4"/>
  <c r="I155" i="4"/>
  <c r="I152" i="4"/>
  <c r="I151" i="4"/>
  <c r="I148" i="4"/>
  <c r="I147" i="4"/>
  <c r="G147" i="4"/>
  <c r="I146" i="4"/>
  <c r="G146" i="4"/>
  <c r="G145" i="4"/>
  <c r="I144" i="4"/>
  <c r="G144" i="4"/>
  <c r="I143" i="4"/>
  <c r="G143" i="4"/>
  <c r="I142" i="4"/>
  <c r="G142" i="4"/>
  <c r="G141" i="4"/>
  <c r="I140" i="4"/>
  <c r="G140" i="4"/>
  <c r="G139" i="4"/>
  <c r="I138" i="4"/>
  <c r="G138" i="4"/>
  <c r="I137" i="4"/>
  <c r="G137" i="4"/>
  <c r="I136" i="4"/>
  <c r="G136" i="4"/>
  <c r="G135" i="4"/>
  <c r="I134" i="4"/>
  <c r="G134" i="4"/>
  <c r="G133" i="4"/>
  <c r="I132" i="4"/>
  <c r="G132" i="4"/>
  <c r="I131" i="4"/>
  <c r="G131" i="4"/>
  <c r="F131" i="4"/>
  <c r="I130" i="4"/>
  <c r="G130" i="4"/>
  <c r="F130" i="4"/>
  <c r="I129" i="4"/>
  <c r="G129" i="4"/>
  <c r="F129" i="4"/>
  <c r="I128" i="4"/>
  <c r="G128" i="4"/>
  <c r="F128" i="4"/>
  <c r="G127" i="4"/>
  <c r="H126" i="4"/>
  <c r="E126" i="4"/>
  <c r="I126" i="4" s="1"/>
  <c r="G121" i="4"/>
  <c r="I120" i="4"/>
  <c r="G120" i="4"/>
  <c r="F120" i="4"/>
  <c r="M119" i="4"/>
  <c r="G119" i="4"/>
  <c r="F119" i="4"/>
  <c r="I118" i="4"/>
  <c r="G118" i="4"/>
  <c r="B118" i="4"/>
  <c r="I117" i="4"/>
  <c r="F117" i="4"/>
  <c r="D117" i="4"/>
  <c r="G117" i="4" s="1"/>
  <c r="I116" i="4"/>
  <c r="G116" i="4"/>
  <c r="I115" i="4"/>
  <c r="G115" i="4"/>
  <c r="H113" i="4"/>
  <c r="E113" i="4"/>
  <c r="I112" i="4"/>
  <c r="G112" i="4"/>
  <c r="F112" i="4"/>
  <c r="I111" i="4"/>
  <c r="G111" i="4"/>
  <c r="F111" i="4"/>
  <c r="I110" i="4"/>
  <c r="G110" i="4"/>
  <c r="F110" i="4"/>
  <c r="I109" i="4"/>
  <c r="G109" i="4"/>
  <c r="F109" i="4"/>
  <c r="B108" i="4"/>
  <c r="H107" i="4"/>
  <c r="E107" i="4"/>
  <c r="D107" i="4"/>
  <c r="I106" i="4"/>
  <c r="D106" i="4"/>
  <c r="G106" i="4" s="1"/>
  <c r="E105" i="4"/>
  <c r="G105" i="4" s="1"/>
  <c r="D105" i="4"/>
  <c r="H103" i="4"/>
  <c r="E103" i="4"/>
  <c r="E102" i="4"/>
  <c r="E122" i="4" s="1"/>
  <c r="G98" i="4"/>
  <c r="F98" i="4"/>
  <c r="E96" i="4"/>
  <c r="I96" i="4" s="1"/>
  <c r="I95" i="4"/>
  <c r="G95" i="4"/>
  <c r="F95" i="4"/>
  <c r="G94" i="4"/>
  <c r="I93" i="4"/>
  <c r="D103" i="4"/>
  <c r="G92" i="4"/>
  <c r="G91" i="4"/>
  <c r="I90" i="4"/>
  <c r="G90" i="4"/>
  <c r="G88" i="4"/>
  <c r="F88" i="4"/>
  <c r="I87" i="4"/>
  <c r="G87" i="4"/>
  <c r="F87" i="4"/>
  <c r="G86" i="4"/>
  <c r="F86" i="4"/>
  <c r="I85" i="4"/>
  <c r="G85" i="4"/>
  <c r="F85" i="4"/>
  <c r="I84" i="4"/>
  <c r="G84" i="4"/>
  <c r="F84" i="4"/>
  <c r="I83" i="4"/>
  <c r="G83" i="4"/>
  <c r="F83" i="4"/>
  <c r="I82" i="4"/>
  <c r="G82" i="4"/>
  <c r="F82" i="4"/>
  <c r="I81" i="4"/>
  <c r="G81" i="4"/>
  <c r="F81" i="4"/>
  <c r="I80" i="4"/>
  <c r="G80" i="4"/>
  <c r="F80" i="4"/>
  <c r="I79" i="4"/>
  <c r="G79" i="4"/>
  <c r="F79" i="4"/>
  <c r="I78" i="4"/>
  <c r="G78" i="4"/>
  <c r="F78" i="4"/>
  <c r="I77" i="4"/>
  <c r="G77" i="4"/>
  <c r="I76" i="4"/>
  <c r="G76" i="4"/>
  <c r="F76" i="4"/>
  <c r="I75" i="4"/>
  <c r="G75" i="4"/>
  <c r="F75" i="4"/>
  <c r="I74" i="4"/>
  <c r="G74" i="4"/>
  <c r="F74" i="4"/>
  <c r="H73" i="4"/>
  <c r="E73" i="4"/>
  <c r="I73" i="4" s="1"/>
  <c r="D73" i="4"/>
  <c r="H72" i="4"/>
  <c r="H89" i="4" s="1"/>
  <c r="I89" i="4" s="1"/>
  <c r="E72" i="4"/>
  <c r="I71" i="4"/>
  <c r="G71" i="4"/>
  <c r="F71" i="4"/>
  <c r="M70" i="4"/>
  <c r="I70" i="4"/>
  <c r="D72" i="4"/>
  <c r="I68" i="4"/>
  <c r="G68" i="4"/>
  <c r="F68" i="4"/>
  <c r="I67" i="4"/>
  <c r="G67" i="4"/>
  <c r="F67" i="4"/>
  <c r="I65" i="4"/>
  <c r="G65" i="4"/>
  <c r="F65" i="4"/>
  <c r="I64" i="4"/>
  <c r="I63" i="4"/>
  <c r="I62" i="4"/>
  <c r="G62" i="4"/>
  <c r="F62" i="4"/>
  <c r="I61" i="4"/>
  <c r="G61" i="4"/>
  <c r="F61" i="4"/>
  <c r="I60" i="4"/>
  <c r="F60" i="4"/>
  <c r="I59" i="4"/>
  <c r="G59" i="4"/>
  <c r="F59" i="4"/>
  <c r="I53" i="4"/>
  <c r="I52" i="4"/>
  <c r="H49" i="4"/>
  <c r="I49" i="4" s="1"/>
  <c r="E49" i="4"/>
  <c r="G49" i="4" s="1"/>
  <c r="D49" i="4"/>
  <c r="I46" i="4"/>
  <c r="G46" i="4"/>
  <c r="G44" i="4"/>
  <c r="G43" i="4"/>
  <c r="G42" i="4"/>
  <c r="I41" i="4"/>
  <c r="G41" i="4"/>
  <c r="G40" i="4"/>
  <c r="E39" i="4"/>
  <c r="D39" i="4"/>
  <c r="H38" i="4"/>
  <c r="H35" i="4" s="1"/>
  <c r="E35" i="4"/>
  <c r="G34" i="4"/>
  <c r="I32" i="4"/>
  <c r="I31" i="4"/>
  <c r="H31" i="4"/>
  <c r="G31" i="4"/>
  <c r="I29" i="4"/>
  <c r="G29" i="4"/>
  <c r="F29" i="4"/>
  <c r="I28" i="4"/>
  <c r="G28" i="4"/>
  <c r="F28" i="4"/>
  <c r="I27" i="4"/>
  <c r="G27" i="4"/>
  <c r="F27" i="4"/>
  <c r="I26" i="4"/>
  <c r="G26" i="4"/>
  <c r="F26" i="4"/>
  <c r="I25" i="4"/>
  <c r="G25" i="4"/>
  <c r="F25" i="4"/>
  <c r="I24" i="4"/>
  <c r="G24" i="4"/>
  <c r="F24" i="4"/>
  <c r="I23" i="4"/>
  <c r="G23" i="4"/>
  <c r="I22" i="4"/>
  <c r="G22" i="4"/>
  <c r="F22" i="4"/>
  <c r="I21" i="4"/>
  <c r="G21" i="4"/>
  <c r="F21" i="4"/>
  <c r="H19" i="4"/>
  <c r="I19" i="4" s="1"/>
  <c r="G19" i="4"/>
  <c r="D19" i="4"/>
  <c r="F19" i="4" s="1"/>
  <c r="I18" i="4"/>
  <c r="G18" i="4"/>
  <c r="F18" i="4"/>
  <c r="I17" i="4"/>
  <c r="G17" i="4"/>
  <c r="F17" i="4"/>
  <c r="I16" i="4"/>
  <c r="G16" i="4"/>
  <c r="F16" i="4"/>
  <c r="H14" i="4"/>
  <c r="E14" i="4"/>
  <c r="I14" i="4" s="1"/>
  <c r="D14" i="4"/>
  <c r="I13" i="4"/>
  <c r="E13" i="4"/>
  <c r="D13" i="4"/>
  <c r="F13" i="4" s="1"/>
  <c r="I12" i="4"/>
  <c r="G12" i="4"/>
  <c r="F12" i="4"/>
  <c r="I11" i="4"/>
  <c r="H10" i="4"/>
  <c r="E10" i="4"/>
  <c r="G10" i="4" s="1"/>
  <c r="D10" i="4"/>
  <c r="I9" i="4"/>
  <c r="G9" i="4"/>
  <c r="F9" i="4"/>
  <c r="I8" i="4"/>
  <c r="G8" i="4"/>
  <c r="F8" i="4"/>
  <c r="I7" i="4"/>
  <c r="G7" i="4"/>
  <c r="F7" i="4"/>
  <c r="H5" i="4"/>
  <c r="E5" i="4"/>
  <c r="I5" i="4" s="1"/>
  <c r="D5" i="4"/>
  <c r="K1" i="4"/>
  <c r="H38" i="5" l="1"/>
  <c r="I96" i="5"/>
  <c r="F10" i="4"/>
  <c r="I10" i="4"/>
  <c r="G13" i="4"/>
  <c r="F49" i="4"/>
  <c r="I72" i="4"/>
  <c r="I103" i="4"/>
  <c r="F107" i="4"/>
  <c r="I107" i="4"/>
  <c r="I113" i="4"/>
  <c r="G122" i="6"/>
  <c r="F96" i="6"/>
  <c r="D38" i="6"/>
  <c r="G96" i="6"/>
  <c r="F122" i="5"/>
  <c r="G122" i="5"/>
  <c r="F96" i="5"/>
  <c r="D38" i="5"/>
  <c r="G96" i="5"/>
  <c r="G39" i="4"/>
  <c r="D126" i="4"/>
  <c r="F126" i="4" s="1"/>
  <c r="D102" i="4"/>
  <c r="G102" i="4" s="1"/>
  <c r="G107" i="4"/>
  <c r="G93" i="4"/>
  <c r="D89" i="4"/>
  <c r="M72" i="4"/>
  <c r="M73" i="4" s="1"/>
  <c r="F72" i="4"/>
  <c r="I35" i="4"/>
  <c r="H33" i="4"/>
  <c r="G5" i="4"/>
  <c r="G14" i="4"/>
  <c r="F5" i="4"/>
  <c r="F14" i="4"/>
  <c r="E33" i="4"/>
  <c r="F39" i="4"/>
  <c r="I39" i="4"/>
  <c r="F70" i="4"/>
  <c r="G72" i="4"/>
  <c r="F73" i="4"/>
  <c r="F102" i="4"/>
  <c r="H102" i="4"/>
  <c r="H122" i="4" s="1"/>
  <c r="I122" i="4" s="1"/>
  <c r="F103" i="4"/>
  <c r="F106" i="4"/>
  <c r="D113" i="4"/>
  <c r="F113" i="4" s="1"/>
  <c r="F118" i="4"/>
  <c r="G70" i="4"/>
  <c r="G73" i="4"/>
  <c r="I102" i="4"/>
  <c r="G103" i="4"/>
  <c r="I118" i="3"/>
  <c r="G78" i="3"/>
  <c r="G79" i="3"/>
  <c r="G80" i="3"/>
  <c r="G81" i="3"/>
  <c r="G82" i="3"/>
  <c r="G83" i="3"/>
  <c r="G84" i="3"/>
  <c r="G85" i="3"/>
  <c r="G86" i="3"/>
  <c r="G87" i="3"/>
  <c r="G88" i="3"/>
  <c r="G90" i="3"/>
  <c r="G91" i="3"/>
  <c r="G92" i="3"/>
  <c r="G94" i="3"/>
  <c r="G95" i="3"/>
  <c r="H35" i="5" l="1"/>
  <c r="I38" i="5"/>
  <c r="F38" i="6"/>
  <c r="G38" i="6"/>
  <c r="D35" i="6"/>
  <c r="F38" i="5"/>
  <c r="G38" i="5"/>
  <c r="D35" i="5"/>
  <c r="G126" i="4"/>
  <c r="D122" i="4"/>
  <c r="G113" i="4"/>
  <c r="I33" i="4"/>
  <c r="D96" i="4"/>
  <c r="G89" i="4"/>
  <c r="F89" i="4"/>
  <c r="D117" i="3"/>
  <c r="D70" i="3"/>
  <c r="I35" i="5" l="1"/>
  <c r="H33" i="5"/>
  <c r="I33" i="5" s="1"/>
  <c r="D33" i="6"/>
  <c r="F35" i="6"/>
  <c r="G35" i="6"/>
  <c r="D33" i="5"/>
  <c r="G35" i="5"/>
  <c r="F35" i="5"/>
  <c r="F122" i="4"/>
  <c r="G122" i="4"/>
  <c r="F96" i="4"/>
  <c r="D38" i="4"/>
  <c r="G96" i="4"/>
  <c r="F17" i="3"/>
  <c r="E13" i="3"/>
  <c r="D13" i="3"/>
  <c r="D118" i="3"/>
  <c r="G118" i="3" s="1"/>
  <c r="D93" i="3"/>
  <c r="G93" i="3" s="1"/>
  <c r="G70" i="3"/>
  <c r="I159" i="3"/>
  <c r="I158" i="3"/>
  <c r="I157" i="3"/>
  <c r="I156" i="3"/>
  <c r="I155" i="3"/>
  <c r="I152" i="3"/>
  <c r="I151" i="3"/>
  <c r="I148" i="3"/>
  <c r="I147" i="3"/>
  <c r="G147" i="3"/>
  <c r="I146" i="3"/>
  <c r="G146" i="3"/>
  <c r="G145" i="3"/>
  <c r="I144" i="3"/>
  <c r="G144" i="3"/>
  <c r="I143" i="3"/>
  <c r="G143" i="3"/>
  <c r="I142" i="3"/>
  <c r="G142" i="3"/>
  <c r="G141" i="3"/>
  <c r="I140" i="3"/>
  <c r="G140" i="3"/>
  <c r="G139" i="3"/>
  <c r="I138" i="3"/>
  <c r="G138" i="3"/>
  <c r="I137" i="3"/>
  <c r="G137" i="3"/>
  <c r="I136" i="3"/>
  <c r="G136" i="3"/>
  <c r="G135" i="3"/>
  <c r="I134" i="3"/>
  <c r="G134" i="3"/>
  <c r="G133" i="3"/>
  <c r="I132" i="3"/>
  <c r="G132" i="3"/>
  <c r="G131" i="3"/>
  <c r="I130" i="3"/>
  <c r="G130" i="3"/>
  <c r="F130" i="3"/>
  <c r="G129" i="3"/>
  <c r="I128" i="3"/>
  <c r="G128" i="3"/>
  <c r="F128" i="3"/>
  <c r="G127" i="3"/>
  <c r="H126" i="3"/>
  <c r="E126" i="3"/>
  <c r="G121" i="3"/>
  <c r="I120" i="3"/>
  <c r="G120" i="3"/>
  <c r="F120" i="3"/>
  <c r="M119" i="3"/>
  <c r="G119" i="3"/>
  <c r="F119" i="3"/>
  <c r="B118" i="3"/>
  <c r="I117" i="3"/>
  <c r="G117" i="3"/>
  <c r="F117" i="3"/>
  <c r="I116" i="3"/>
  <c r="G116" i="3"/>
  <c r="I115" i="3"/>
  <c r="G115" i="3"/>
  <c r="H113" i="3"/>
  <c r="E113" i="3"/>
  <c r="D113" i="3"/>
  <c r="I112" i="3"/>
  <c r="G112" i="3"/>
  <c r="F112" i="3"/>
  <c r="G111" i="3"/>
  <c r="I110" i="3"/>
  <c r="G110" i="3"/>
  <c r="F110" i="3"/>
  <c r="G109" i="3"/>
  <c r="B108" i="3"/>
  <c r="H107" i="3"/>
  <c r="D107" i="3"/>
  <c r="I106" i="3"/>
  <c r="D106" i="3"/>
  <c r="E105" i="3"/>
  <c r="D105" i="3"/>
  <c r="E103" i="3"/>
  <c r="G98" i="3"/>
  <c r="F98" i="3"/>
  <c r="I95" i="3"/>
  <c r="F95" i="3"/>
  <c r="I93" i="3"/>
  <c r="H103" i="3"/>
  <c r="H102" i="3" s="1"/>
  <c r="H122" i="3" s="1"/>
  <c r="I90" i="3"/>
  <c r="H38" i="3"/>
  <c r="H35" i="3" s="1"/>
  <c r="F88" i="3"/>
  <c r="I87" i="3"/>
  <c r="F87" i="3"/>
  <c r="F86" i="3"/>
  <c r="I85" i="3"/>
  <c r="F85" i="3"/>
  <c r="I84" i="3"/>
  <c r="F84" i="3"/>
  <c r="I83" i="3"/>
  <c r="F83" i="3"/>
  <c r="I82" i="3"/>
  <c r="F82" i="3"/>
  <c r="I81" i="3"/>
  <c r="F81" i="3"/>
  <c r="I80" i="3"/>
  <c r="F80" i="3"/>
  <c r="I79" i="3"/>
  <c r="F79" i="3"/>
  <c r="I78" i="3"/>
  <c r="F78" i="3"/>
  <c r="I77" i="3"/>
  <c r="I76" i="3"/>
  <c r="I75" i="3"/>
  <c r="G75" i="3"/>
  <c r="F75" i="3"/>
  <c r="G74" i="3"/>
  <c r="H73" i="3"/>
  <c r="D73" i="3"/>
  <c r="H72" i="3"/>
  <c r="H89" i="3" s="1"/>
  <c r="E72" i="3"/>
  <c r="I71" i="3"/>
  <c r="G71" i="3"/>
  <c r="F71" i="3"/>
  <c r="M70" i="3"/>
  <c r="I70" i="3"/>
  <c r="F70" i="3"/>
  <c r="I68" i="3"/>
  <c r="G68" i="3"/>
  <c r="F68" i="3"/>
  <c r="I67" i="3"/>
  <c r="G67" i="3"/>
  <c r="F67" i="3"/>
  <c r="I65" i="3"/>
  <c r="G65" i="3"/>
  <c r="F65" i="3"/>
  <c r="I64" i="3"/>
  <c r="I63" i="3"/>
  <c r="I62" i="3"/>
  <c r="G62" i="3"/>
  <c r="F62" i="3"/>
  <c r="I61" i="3"/>
  <c r="G61" i="3"/>
  <c r="F61" i="3"/>
  <c r="I60" i="3"/>
  <c r="F60" i="3"/>
  <c r="I59" i="3"/>
  <c r="G59" i="3"/>
  <c r="F59" i="3"/>
  <c r="I53" i="3"/>
  <c r="I52" i="3"/>
  <c r="H49" i="3"/>
  <c r="I49" i="3" s="1"/>
  <c r="E49" i="3"/>
  <c r="G49" i="3" s="1"/>
  <c r="D49" i="3"/>
  <c r="I46" i="3"/>
  <c r="G46" i="3"/>
  <c r="G44" i="3"/>
  <c r="G43" i="3"/>
  <c r="G42" i="3"/>
  <c r="I41" i="3"/>
  <c r="G41" i="3"/>
  <c r="G40" i="3"/>
  <c r="E39" i="3"/>
  <c r="D39" i="3"/>
  <c r="E35" i="3"/>
  <c r="G34" i="3"/>
  <c r="I32" i="3"/>
  <c r="H31" i="3"/>
  <c r="I31" i="3" s="1"/>
  <c r="G31" i="3"/>
  <c r="I29" i="3"/>
  <c r="G29" i="3"/>
  <c r="F29" i="3"/>
  <c r="I28" i="3"/>
  <c r="G28" i="3"/>
  <c r="F28" i="3"/>
  <c r="I27" i="3"/>
  <c r="G27" i="3"/>
  <c r="F27" i="3"/>
  <c r="I26" i="3"/>
  <c r="G26" i="3"/>
  <c r="F26" i="3"/>
  <c r="I25" i="3"/>
  <c r="G25" i="3"/>
  <c r="F25" i="3"/>
  <c r="I24" i="3"/>
  <c r="G24" i="3"/>
  <c r="F24" i="3"/>
  <c r="I23" i="3"/>
  <c r="G23" i="3"/>
  <c r="I22" i="3"/>
  <c r="G22" i="3"/>
  <c r="F22" i="3"/>
  <c r="I21" i="3"/>
  <c r="G21" i="3"/>
  <c r="F21" i="3"/>
  <c r="H19" i="3"/>
  <c r="E19" i="3"/>
  <c r="D19" i="3"/>
  <c r="I18" i="3"/>
  <c r="G18" i="3"/>
  <c r="F18" i="3"/>
  <c r="I17" i="3"/>
  <c r="G17" i="3"/>
  <c r="I16" i="3"/>
  <c r="G16" i="3"/>
  <c r="F16" i="3"/>
  <c r="H14" i="3"/>
  <c r="E14" i="3"/>
  <c r="D14" i="3"/>
  <c r="I13" i="3"/>
  <c r="F13" i="3"/>
  <c r="I12" i="3"/>
  <c r="G12" i="3"/>
  <c r="F12" i="3"/>
  <c r="I11" i="3"/>
  <c r="H10" i="3"/>
  <c r="E10" i="3"/>
  <c r="I9" i="3"/>
  <c r="G9" i="3"/>
  <c r="F9" i="3"/>
  <c r="I8" i="3"/>
  <c r="G8" i="3"/>
  <c r="F8" i="3"/>
  <c r="I7" i="3"/>
  <c r="G7" i="3"/>
  <c r="F7" i="3"/>
  <c r="H5" i="3"/>
  <c r="E5" i="3"/>
  <c r="D5" i="3"/>
  <c r="K1" i="3"/>
  <c r="G106" i="3" l="1"/>
  <c r="F106" i="3"/>
  <c r="F49" i="3"/>
  <c r="G105" i="3"/>
  <c r="G33" i="6"/>
  <c r="F33" i="6"/>
  <c r="G33" i="5"/>
  <c r="F33" i="5"/>
  <c r="F38" i="4"/>
  <c r="G38" i="4"/>
  <c r="D35" i="4"/>
  <c r="I19" i="3"/>
  <c r="F19" i="3"/>
  <c r="G13" i="3"/>
  <c r="D10" i="3"/>
  <c r="F10" i="3" s="1"/>
  <c r="G5" i="3"/>
  <c r="G39" i="3"/>
  <c r="I126" i="3"/>
  <c r="I113" i="3"/>
  <c r="G19" i="3"/>
  <c r="I14" i="3"/>
  <c r="I10" i="3"/>
  <c r="I35" i="3"/>
  <c r="H33" i="3"/>
  <c r="D103" i="3"/>
  <c r="D102" i="3" s="1"/>
  <c r="D122" i="3" s="1"/>
  <c r="I103" i="3"/>
  <c r="I5" i="3"/>
  <c r="G14" i="3"/>
  <c r="F5" i="3"/>
  <c r="F14" i="3"/>
  <c r="E33" i="3"/>
  <c r="F39" i="3"/>
  <c r="I39" i="3"/>
  <c r="D72" i="3"/>
  <c r="D89" i="3" s="1"/>
  <c r="E73" i="3"/>
  <c r="F74" i="3"/>
  <c r="I74" i="3"/>
  <c r="F76" i="3"/>
  <c r="F103" i="3"/>
  <c r="E107" i="3"/>
  <c r="F109" i="3"/>
  <c r="I109" i="3"/>
  <c r="F111" i="3"/>
  <c r="I111" i="3"/>
  <c r="F113" i="3"/>
  <c r="F118" i="3"/>
  <c r="D126" i="3"/>
  <c r="F126" i="3" s="1"/>
  <c r="F129" i="3"/>
  <c r="I129" i="3"/>
  <c r="F131" i="3"/>
  <c r="I131" i="3"/>
  <c r="I72" i="3"/>
  <c r="G76" i="3"/>
  <c r="G77" i="3"/>
  <c r="G103" i="3"/>
  <c r="G113" i="3"/>
  <c r="D96" i="3" l="1"/>
  <c r="G89" i="3"/>
  <c r="D33" i="4"/>
  <c r="G35" i="4"/>
  <c r="F35" i="4"/>
  <c r="G10" i="3"/>
  <c r="G126" i="3"/>
  <c r="F107" i="3"/>
  <c r="E102" i="3"/>
  <c r="G107" i="3"/>
  <c r="F73" i="3"/>
  <c r="I73" i="3"/>
  <c r="G73" i="3"/>
  <c r="D38" i="3"/>
  <c r="M72" i="3"/>
  <c r="M73" i="3" s="1"/>
  <c r="G72" i="3"/>
  <c r="F72" i="3"/>
  <c r="I107" i="3"/>
  <c r="I33" i="3"/>
  <c r="F119" i="2"/>
  <c r="F120" i="2"/>
  <c r="G33" i="4" l="1"/>
  <c r="F33" i="4"/>
  <c r="E96" i="3"/>
  <c r="G96" i="3" s="1"/>
  <c r="I89" i="3"/>
  <c r="F89" i="3"/>
  <c r="F38" i="3"/>
  <c r="G38" i="3"/>
  <c r="D35" i="3"/>
  <c r="E122" i="3"/>
  <c r="I102" i="3"/>
  <c r="G102" i="3"/>
  <c r="F102" i="3"/>
  <c r="D70" i="2"/>
  <c r="F28" i="2"/>
  <c r="F27" i="2"/>
  <c r="D33" i="3" l="1"/>
  <c r="F35" i="3"/>
  <c r="G35" i="3"/>
  <c r="I96" i="3"/>
  <c r="F96" i="3"/>
  <c r="I122" i="3"/>
  <c r="G122" i="3"/>
  <c r="F122" i="3"/>
  <c r="H93" i="2"/>
  <c r="H89" i="2"/>
  <c r="H77" i="2"/>
  <c r="H76" i="2"/>
  <c r="G33" i="3" l="1"/>
  <c r="F33" i="3"/>
  <c r="E131" i="2"/>
  <c r="D131" i="2"/>
  <c r="E130" i="2"/>
  <c r="D130" i="2"/>
  <c r="D39" i="2" s="1"/>
  <c r="E129" i="2"/>
  <c r="I129" i="2" s="1"/>
  <c r="D129" i="2"/>
  <c r="E128" i="2"/>
  <c r="I128" i="2" s="1"/>
  <c r="D128" i="2"/>
  <c r="E118" i="2"/>
  <c r="D118" i="2"/>
  <c r="D113" i="2" s="1"/>
  <c r="B118" i="2"/>
  <c r="E121" i="2"/>
  <c r="G121" i="2" s="1"/>
  <c r="B108" i="2"/>
  <c r="E112" i="2"/>
  <c r="I112" i="2" s="1"/>
  <c r="E111" i="2"/>
  <c r="E110" i="2"/>
  <c r="I110" i="2" s="1"/>
  <c r="E109" i="2"/>
  <c r="D112" i="2"/>
  <c r="G112" i="2" s="1"/>
  <c r="D111" i="2"/>
  <c r="G111" i="2" s="1"/>
  <c r="D110" i="2"/>
  <c r="G110" i="2" s="1"/>
  <c r="D109" i="2"/>
  <c r="D92" i="2"/>
  <c r="D93" i="2" s="1"/>
  <c r="E78" i="2"/>
  <c r="G78" i="2" s="1"/>
  <c r="E77" i="2"/>
  <c r="I77" i="2" s="1"/>
  <c r="E76" i="2"/>
  <c r="I76" i="2" s="1"/>
  <c r="E75" i="2"/>
  <c r="I75" i="2" s="1"/>
  <c r="E74" i="2"/>
  <c r="I74" i="2" s="1"/>
  <c r="D77" i="2"/>
  <c r="F77" i="2" s="1"/>
  <c r="D76" i="2"/>
  <c r="D74" i="2"/>
  <c r="E71" i="2"/>
  <c r="I71" i="2" s="1"/>
  <c r="E70" i="2"/>
  <c r="D71" i="2"/>
  <c r="H103" i="2"/>
  <c r="I159" i="2"/>
  <c r="I158" i="2"/>
  <c r="I157" i="2"/>
  <c r="I156" i="2"/>
  <c r="I155" i="2"/>
  <c r="I152" i="2"/>
  <c r="I151" i="2"/>
  <c r="I148" i="2"/>
  <c r="I147" i="2"/>
  <c r="G147" i="2"/>
  <c r="I146" i="2"/>
  <c r="G146" i="2"/>
  <c r="G145" i="2"/>
  <c r="I144" i="2"/>
  <c r="G144" i="2"/>
  <c r="I143" i="2"/>
  <c r="G143" i="2"/>
  <c r="I142" i="2"/>
  <c r="G142" i="2"/>
  <c r="G141" i="2"/>
  <c r="I140" i="2"/>
  <c r="G140" i="2"/>
  <c r="G139" i="2"/>
  <c r="I138" i="2"/>
  <c r="G138" i="2"/>
  <c r="I137" i="2"/>
  <c r="G137" i="2"/>
  <c r="I136" i="2"/>
  <c r="G136" i="2"/>
  <c r="G135" i="2"/>
  <c r="I134" i="2"/>
  <c r="G134" i="2"/>
  <c r="G133" i="2"/>
  <c r="I132" i="2"/>
  <c r="G132" i="2"/>
  <c r="G127" i="2"/>
  <c r="H126" i="2"/>
  <c r="I120" i="2"/>
  <c r="G120" i="2"/>
  <c r="M119" i="2"/>
  <c r="G119" i="2"/>
  <c r="I117" i="2"/>
  <c r="G117" i="2"/>
  <c r="I116" i="2"/>
  <c r="G116" i="2"/>
  <c r="I115" i="2"/>
  <c r="G115" i="2"/>
  <c r="H113" i="2"/>
  <c r="I111" i="2"/>
  <c r="I109" i="2"/>
  <c r="H107" i="2"/>
  <c r="I106" i="2"/>
  <c r="D106" i="2"/>
  <c r="G106" i="2" s="1"/>
  <c r="E105" i="2"/>
  <c r="D105" i="2"/>
  <c r="G105" i="2" s="1"/>
  <c r="E103" i="2"/>
  <c r="G98" i="2"/>
  <c r="F98" i="2"/>
  <c r="I95" i="2"/>
  <c r="G95" i="2"/>
  <c r="F95" i="2"/>
  <c r="G94" i="2"/>
  <c r="I93" i="2"/>
  <c r="G91" i="2"/>
  <c r="I90" i="2"/>
  <c r="G90" i="2"/>
  <c r="G88" i="2"/>
  <c r="F88" i="2"/>
  <c r="I87" i="2"/>
  <c r="G87" i="2"/>
  <c r="F87" i="2"/>
  <c r="G86" i="2"/>
  <c r="F86" i="2"/>
  <c r="I85" i="2"/>
  <c r="G85" i="2"/>
  <c r="F85" i="2"/>
  <c r="I84" i="2"/>
  <c r="G84" i="2"/>
  <c r="F84" i="2"/>
  <c r="I83" i="2"/>
  <c r="G83" i="2"/>
  <c r="F83" i="2"/>
  <c r="I82" i="2"/>
  <c r="G82" i="2"/>
  <c r="F82" i="2"/>
  <c r="I81" i="2"/>
  <c r="G81" i="2"/>
  <c r="F81" i="2"/>
  <c r="I80" i="2"/>
  <c r="G80" i="2"/>
  <c r="F80" i="2"/>
  <c r="I79" i="2"/>
  <c r="G79" i="2"/>
  <c r="F79" i="2"/>
  <c r="I78" i="2"/>
  <c r="F78" i="2"/>
  <c r="G76" i="2"/>
  <c r="H73" i="2"/>
  <c r="H72" i="2"/>
  <c r="M70" i="2"/>
  <c r="I68" i="2"/>
  <c r="G68" i="2"/>
  <c r="F68" i="2"/>
  <c r="I67" i="2"/>
  <c r="G67" i="2"/>
  <c r="F67" i="2"/>
  <c r="I65" i="2"/>
  <c r="G65" i="2"/>
  <c r="F65" i="2"/>
  <c r="I64" i="2"/>
  <c r="I63" i="2"/>
  <c r="I62" i="2"/>
  <c r="G62" i="2"/>
  <c r="F62" i="2"/>
  <c r="I61" i="2"/>
  <c r="G61" i="2"/>
  <c r="F61" i="2"/>
  <c r="I60" i="2"/>
  <c r="F60" i="2"/>
  <c r="I59" i="2"/>
  <c r="G59" i="2"/>
  <c r="F59" i="2"/>
  <c r="I53" i="2"/>
  <c r="I52" i="2"/>
  <c r="H49" i="2"/>
  <c r="I49" i="2" s="1"/>
  <c r="E49" i="2"/>
  <c r="G49" i="2" s="1"/>
  <c r="D49" i="2"/>
  <c r="I46" i="2"/>
  <c r="G46" i="2"/>
  <c r="G44" i="2"/>
  <c r="G43" i="2"/>
  <c r="G42" i="2"/>
  <c r="I41" i="2"/>
  <c r="G41" i="2"/>
  <c r="G40" i="2"/>
  <c r="G34" i="2"/>
  <c r="I32" i="2"/>
  <c r="H31" i="2"/>
  <c r="I31" i="2" s="1"/>
  <c r="G31" i="2"/>
  <c r="I29" i="2"/>
  <c r="G29" i="2"/>
  <c r="F29" i="2"/>
  <c r="I28" i="2"/>
  <c r="G28" i="2"/>
  <c r="I27" i="2"/>
  <c r="G27" i="2"/>
  <c r="I26" i="2"/>
  <c r="G26" i="2"/>
  <c r="F26" i="2"/>
  <c r="I25" i="2"/>
  <c r="G25" i="2"/>
  <c r="F25" i="2"/>
  <c r="I24" i="2"/>
  <c r="G24" i="2"/>
  <c r="F24" i="2"/>
  <c r="I23" i="2"/>
  <c r="G23" i="2"/>
  <c r="I22" i="2"/>
  <c r="G22" i="2"/>
  <c r="F22" i="2"/>
  <c r="I21" i="2"/>
  <c r="G21" i="2"/>
  <c r="F21" i="2"/>
  <c r="H19" i="2"/>
  <c r="E19" i="2"/>
  <c r="D19" i="2"/>
  <c r="I18" i="2"/>
  <c r="G18" i="2"/>
  <c r="F18" i="2"/>
  <c r="I17" i="2"/>
  <c r="G17" i="2"/>
  <c r="F17" i="2"/>
  <c r="I16" i="2"/>
  <c r="G16" i="2"/>
  <c r="F16" i="2"/>
  <c r="H14" i="2"/>
  <c r="E14" i="2"/>
  <c r="D14" i="2"/>
  <c r="I13" i="2"/>
  <c r="G13" i="2"/>
  <c r="F13" i="2"/>
  <c r="I12" i="2"/>
  <c r="G12" i="2"/>
  <c r="F12" i="2"/>
  <c r="I11" i="2"/>
  <c r="H10" i="2"/>
  <c r="E10" i="2"/>
  <c r="D10" i="2"/>
  <c r="I9" i="2"/>
  <c r="G9" i="2"/>
  <c r="F9" i="2"/>
  <c r="I8" i="2"/>
  <c r="G8" i="2"/>
  <c r="F8" i="2"/>
  <c r="I7" i="2"/>
  <c r="G7" i="2"/>
  <c r="F7" i="2"/>
  <c r="H5" i="2"/>
  <c r="E5" i="2"/>
  <c r="G5" i="2" s="1"/>
  <c r="D5" i="2"/>
  <c r="K1" i="2"/>
  <c r="F10" i="2" l="1"/>
  <c r="G14" i="2"/>
  <c r="F49" i="2"/>
  <c r="F106" i="2"/>
  <c r="H102" i="2"/>
  <c r="F110" i="2"/>
  <c r="F112" i="2"/>
  <c r="F118" i="2"/>
  <c r="I130" i="2"/>
  <c r="E39" i="2"/>
  <c r="G39" i="2" s="1"/>
  <c r="G74" i="2"/>
  <c r="F128" i="2"/>
  <c r="E113" i="2"/>
  <c r="F113" i="2" s="1"/>
  <c r="G109" i="2"/>
  <c r="G131" i="2"/>
  <c r="E107" i="2"/>
  <c r="E102" i="2" s="1"/>
  <c r="F74" i="2"/>
  <c r="G77" i="2"/>
  <c r="F109" i="2"/>
  <c r="F111" i="2"/>
  <c r="F71" i="2"/>
  <c r="I131" i="2"/>
  <c r="F131" i="2"/>
  <c r="F130" i="2"/>
  <c r="E126" i="2"/>
  <c r="I126" i="2" s="1"/>
  <c r="F129" i="2"/>
  <c r="G118" i="2"/>
  <c r="D107" i="2"/>
  <c r="F107" i="2" s="1"/>
  <c r="F76" i="2"/>
  <c r="E73" i="2"/>
  <c r="I73" i="2" s="1"/>
  <c r="G71" i="2"/>
  <c r="E72" i="2"/>
  <c r="I72" i="2" s="1"/>
  <c r="I70" i="2"/>
  <c r="D72" i="2"/>
  <c r="F117" i="2"/>
  <c r="F19" i="2"/>
  <c r="F14" i="2"/>
  <c r="I14" i="2"/>
  <c r="F5" i="2"/>
  <c r="I5" i="2"/>
  <c r="H122" i="2"/>
  <c r="I103" i="2"/>
  <c r="D103" i="2"/>
  <c r="G93" i="2"/>
  <c r="G10" i="2"/>
  <c r="I10" i="2"/>
  <c r="G19" i="2"/>
  <c r="I19" i="2"/>
  <c r="G70" i="2"/>
  <c r="G128" i="2"/>
  <c r="G129" i="2"/>
  <c r="G130" i="2"/>
  <c r="F70" i="2"/>
  <c r="D126" i="2"/>
  <c r="D102" i="2" l="1"/>
  <c r="G113" i="2"/>
  <c r="G103" i="2"/>
  <c r="F39" i="2"/>
  <c r="I39" i="2"/>
  <c r="E122" i="2"/>
  <c r="I122" i="2" s="1"/>
  <c r="I102" i="2"/>
  <c r="I113" i="2"/>
  <c r="I107" i="2"/>
  <c r="F126" i="2"/>
  <c r="F72" i="2"/>
  <c r="H92" i="2"/>
  <c r="H96" i="2"/>
  <c r="H38" i="2" s="1"/>
  <c r="H35" i="2" s="1"/>
  <c r="H33" i="2" s="1"/>
  <c r="G107" i="2"/>
  <c r="D122" i="2"/>
  <c r="F103" i="2"/>
  <c r="E89" i="2"/>
  <c r="E96" i="2" s="1"/>
  <c r="G72" i="2"/>
  <c r="G126" i="2"/>
  <c r="G102" i="2"/>
  <c r="G92" i="2"/>
  <c r="F122" i="2" l="1"/>
  <c r="G122" i="2"/>
  <c r="I96" i="2"/>
  <c r="F102" i="2"/>
  <c r="I89" i="2"/>
  <c r="E35" i="2"/>
  <c r="E33" i="2" l="1"/>
  <c r="I35" i="2"/>
  <c r="I33" i="2" l="1"/>
  <c r="D75" i="2" l="1"/>
  <c r="F75" i="2" l="1"/>
  <c r="G75" i="2"/>
  <c r="D73" i="2"/>
  <c r="G73" i="2" l="1"/>
  <c r="D89" i="2"/>
  <c r="M72" i="2"/>
  <c r="M73" i="2" s="1"/>
  <c r="F73" i="2"/>
  <c r="D96" i="2" l="1"/>
  <c r="F89" i="2"/>
  <c r="G89" i="2"/>
  <c r="G96" i="2" l="1"/>
  <c r="D38" i="2"/>
  <c r="F96" i="2"/>
  <c r="G38" i="2" l="1"/>
  <c r="D35" i="2"/>
  <c r="F38" i="2"/>
  <c r="G35" i="2" l="1"/>
  <c r="D33" i="2"/>
  <c r="F35" i="2"/>
  <c r="F33" i="2" l="1"/>
  <c r="G33" i="2"/>
</calcChain>
</file>

<file path=xl/sharedStrings.xml><?xml version="1.0" encoding="utf-8"?>
<sst xmlns="http://schemas.openxmlformats.org/spreadsheetml/2006/main" count="10972" uniqueCount="303">
  <si>
    <t>№
п/п</t>
  </si>
  <si>
    <t>Наименование</t>
  </si>
  <si>
    <t>Един.
 изм.</t>
  </si>
  <si>
    <t xml:space="preserve">Темпы </t>
  </si>
  <si>
    <t>план</t>
  </si>
  <si>
    <t>факт</t>
  </si>
  <si>
    <t>%</t>
  </si>
  <si>
    <t xml:space="preserve"> +, -</t>
  </si>
  <si>
    <t xml:space="preserve"> I.Производство</t>
  </si>
  <si>
    <t>1.</t>
  </si>
  <si>
    <t>Добыча угля, всего</t>
  </si>
  <si>
    <t>т.т.</t>
  </si>
  <si>
    <t>в том числе:</t>
  </si>
  <si>
    <t>филиал "Разрез Ангренский"</t>
  </si>
  <si>
    <t>филиал "Подземные работы"</t>
  </si>
  <si>
    <t>филиал "Апартак"</t>
  </si>
  <si>
    <t>2.</t>
  </si>
  <si>
    <t>Добыча каолинов, всего</t>
  </si>
  <si>
    <t xml:space="preserve"> первичные</t>
  </si>
  <si>
    <t xml:space="preserve"> вторичные</t>
  </si>
  <si>
    <t>3.</t>
  </si>
  <si>
    <t>Поставка угля, всего</t>
  </si>
  <si>
    <t>svod za mart</t>
  </si>
  <si>
    <t>4.</t>
  </si>
  <si>
    <t>Вскрыша, всего</t>
  </si>
  <si>
    <r>
      <t>т.м</t>
    </r>
    <r>
      <rPr>
        <b/>
        <vertAlign val="superscript"/>
        <sz val="12"/>
        <rFont val="Times New Roman"/>
        <family val="1"/>
        <charset val="204"/>
      </rPr>
      <t>3</t>
    </r>
  </si>
  <si>
    <t>по видам транспорта:</t>
  </si>
  <si>
    <t xml:space="preserve"> ж.д.транспорт</t>
  </si>
  <si>
    <r>
      <t>т.м</t>
    </r>
    <r>
      <rPr>
        <vertAlign val="superscript"/>
        <sz val="12"/>
        <rFont val="Times New Roman"/>
        <family val="1"/>
        <charset val="204"/>
      </rPr>
      <t>3</t>
    </r>
  </si>
  <si>
    <t xml:space="preserve"> автотранспорт</t>
  </si>
  <si>
    <t xml:space="preserve"> бестранспортная</t>
  </si>
  <si>
    <t xml:space="preserve"> конвейерная</t>
  </si>
  <si>
    <t>5.</t>
  </si>
  <si>
    <t>Проходка горных выработок</t>
  </si>
  <si>
    <t>п.м.</t>
  </si>
  <si>
    <t>6.</t>
  </si>
  <si>
    <t>Объем производства промышленной продукции в сопоставимых ценах</t>
  </si>
  <si>
    <t>млн.сум</t>
  </si>
  <si>
    <t>7.</t>
  </si>
  <si>
    <t>8.</t>
  </si>
  <si>
    <t>Производство непродовольственных товаров народного потребления</t>
  </si>
  <si>
    <t>9.</t>
  </si>
  <si>
    <t>Локализация</t>
  </si>
  <si>
    <t>II.Инвестиционная деятельность</t>
  </si>
  <si>
    <t>10.</t>
  </si>
  <si>
    <t>Освоено капитальных вложений с учетом протокола МВРП №132 и №179 от 28.12.2015г.</t>
  </si>
  <si>
    <t>УКС</t>
  </si>
  <si>
    <t>11.</t>
  </si>
  <si>
    <t>Ввод объектов</t>
  </si>
  <si>
    <t>12.</t>
  </si>
  <si>
    <t xml:space="preserve">Финансирование  капитальных  вложений  -  всего        </t>
  </si>
  <si>
    <t>фин. Отд.</t>
  </si>
  <si>
    <t>в  том  числе:</t>
  </si>
  <si>
    <t>Прибыль</t>
  </si>
  <si>
    <t xml:space="preserve"> в  том  числе :</t>
  </si>
  <si>
    <t>от основной  деятельности</t>
  </si>
  <si>
    <t>за счет  спец.  надбавки</t>
  </si>
  <si>
    <t xml:space="preserve"> Амортизация</t>
  </si>
  <si>
    <t>бахридин</t>
  </si>
  <si>
    <t xml:space="preserve"> Ассигнования  из  бюджета</t>
  </si>
  <si>
    <t xml:space="preserve"> Средства государственной поддержки -
 Целевой Фонд технического перевооружения</t>
  </si>
  <si>
    <t>Дивиденды по гос. доле</t>
  </si>
  <si>
    <t>Кредит Эксимбанка КНР</t>
  </si>
  <si>
    <t>Кредиты коммерческих банков</t>
  </si>
  <si>
    <t>Средства  ФРР</t>
  </si>
  <si>
    <t>12.7. Повторно использованные материальные ресурсы от списания основных фондов и объектов незавершённого строительства</t>
  </si>
  <si>
    <t>III.Экспорт</t>
  </si>
  <si>
    <t>13.</t>
  </si>
  <si>
    <t xml:space="preserve">В стоимостном выражении </t>
  </si>
  <si>
    <t>Всего по угольной отрасли</t>
  </si>
  <si>
    <t>тыс.$</t>
  </si>
  <si>
    <t>Уголь</t>
  </si>
  <si>
    <t>млн.$</t>
  </si>
  <si>
    <t xml:space="preserve"> - </t>
  </si>
  <si>
    <t>13.2. СП «Каолин»</t>
  </si>
  <si>
    <t>13.3. ОАО «Шаргунькумир»</t>
  </si>
  <si>
    <t>14.</t>
  </si>
  <si>
    <t>В физическом выражении</t>
  </si>
  <si>
    <t xml:space="preserve"> Уголь</t>
  </si>
  <si>
    <t>тыс.тонн</t>
  </si>
  <si>
    <t>14.2. Обогащенный каолин</t>
  </si>
  <si>
    <t>тонн</t>
  </si>
  <si>
    <t>14.3. Брикеты и каменный уголь</t>
  </si>
  <si>
    <t>IV.Экономика</t>
  </si>
  <si>
    <t>15.</t>
  </si>
  <si>
    <t>Среднесписочная численность работающих</t>
  </si>
  <si>
    <t>чел.</t>
  </si>
  <si>
    <t>отиз</t>
  </si>
  <si>
    <t>16.</t>
  </si>
  <si>
    <t>Среднемесячная производительность труда рабочего по добыче угля</t>
  </si>
  <si>
    <t>тн/мес.</t>
  </si>
  <si>
    <t>17.</t>
  </si>
  <si>
    <t>Фонд оплаты труда</t>
  </si>
  <si>
    <t>18.</t>
  </si>
  <si>
    <t>Среднемесячная заработная плата работающих</t>
  </si>
  <si>
    <t>тыс.сум</t>
  </si>
  <si>
    <t>19.</t>
  </si>
  <si>
    <t>Среднегодовая стоимость основных фондов</t>
  </si>
  <si>
    <t>20.</t>
  </si>
  <si>
    <t>Износ основных фондов</t>
  </si>
  <si>
    <t>21.</t>
  </si>
  <si>
    <t>Себестоимость добычи 1 тонны угля, всего</t>
  </si>
  <si>
    <t>сум</t>
  </si>
  <si>
    <t>zatrati po vidam</t>
  </si>
  <si>
    <t>- подземный способ</t>
  </si>
  <si>
    <t>- открытый способ</t>
  </si>
  <si>
    <t>V.Финансовые результаты</t>
  </si>
  <si>
    <t>22.</t>
  </si>
  <si>
    <t>Чистая выручка от реализации продукции</t>
  </si>
  <si>
    <t>23.</t>
  </si>
  <si>
    <t>Себестоимость реализованной продукции</t>
  </si>
  <si>
    <t>24.</t>
  </si>
  <si>
    <t>Валовая прибыль</t>
  </si>
  <si>
    <t>Расходы периода, всего</t>
  </si>
  <si>
    <t>Расходы по реализации</t>
  </si>
  <si>
    <t>Административные расходы</t>
  </si>
  <si>
    <t>Прочие операционные расходы</t>
  </si>
  <si>
    <t>Прочие доходы от основной деятельности</t>
  </si>
  <si>
    <t>Расходы по финансовой деятельности</t>
  </si>
  <si>
    <t>дивиденды</t>
  </si>
  <si>
    <t>прочие проценты</t>
  </si>
  <si>
    <t>доходы</t>
  </si>
  <si>
    <t>расходы</t>
  </si>
  <si>
    <t>курсовая разница</t>
  </si>
  <si>
    <t>прочие доходы</t>
  </si>
  <si>
    <t>Балансовая прибыль</t>
  </si>
  <si>
    <t>Расходы включаемые в налогооблагаемую базу</t>
  </si>
  <si>
    <t>Уменьшение налогооблагаемой базы</t>
  </si>
  <si>
    <t>Налогооблагаемая база</t>
  </si>
  <si>
    <t>Налог на прибыль</t>
  </si>
  <si>
    <t>Налог на инфраструктуру</t>
  </si>
  <si>
    <t>Прочие налоги</t>
  </si>
  <si>
    <t>Чистая прибыль</t>
  </si>
  <si>
    <t>Распределение чистой прибыли:</t>
  </si>
  <si>
    <t>резервный фонд (5% от уставного фонда)</t>
  </si>
  <si>
    <t>капитальные вложения</t>
  </si>
  <si>
    <t>26.</t>
  </si>
  <si>
    <t>Использование средств</t>
  </si>
  <si>
    <t xml:space="preserve"> Платежи в бюджет, всего</t>
  </si>
  <si>
    <t>buhgalteriya petrovna</t>
  </si>
  <si>
    <t xml:space="preserve"> налог на прибыль</t>
  </si>
  <si>
    <t xml:space="preserve"> единый налоговый платеж от товарооборота</t>
  </si>
  <si>
    <t xml:space="preserve"> налог на инфраструктуру и дивиденды</t>
  </si>
  <si>
    <t xml:space="preserve"> налог на добавленную стоимость</t>
  </si>
  <si>
    <t>платежи в бюджет за счет расходов периода</t>
  </si>
  <si>
    <t xml:space="preserve">         прочие  налоги</t>
  </si>
  <si>
    <t xml:space="preserve"> налог  на  имущество</t>
  </si>
  <si>
    <t xml:space="preserve"> налог  на  воду</t>
  </si>
  <si>
    <t xml:space="preserve"> налог  на  землю</t>
  </si>
  <si>
    <t xml:space="preserve"> налог  на  недра</t>
  </si>
  <si>
    <t>Платежи во внебюджетные фонды,  всего</t>
  </si>
  <si>
    <t xml:space="preserve"> отчисления в Республиканский дорожный фонд </t>
  </si>
  <si>
    <t xml:space="preserve"> Фонд реконструкции, капитального ремонта и оснащения образовательных учреждений </t>
  </si>
  <si>
    <t xml:space="preserve"> Обязательные отчисления во внебюджетный Пенсионный Фонд (ст.12,ст.15)</t>
  </si>
  <si>
    <t xml:space="preserve"> Обязательные отчисления во внебюджетный Пенсионный Фонд от фактического объема реализованной продукции (1,6%)</t>
  </si>
  <si>
    <t xml:space="preserve"> Отчисления в социальный страховой фонд (8% от заработной платы трудящихся)</t>
  </si>
  <si>
    <t xml:space="preserve">    Итого платежей</t>
  </si>
  <si>
    <t>27.</t>
  </si>
  <si>
    <t>Плата за кредиты Министерства Финансов</t>
  </si>
  <si>
    <t xml:space="preserve"> За счет Целевого фонда </t>
  </si>
  <si>
    <t xml:space="preserve"> 27.2. За счет расходов периода</t>
  </si>
  <si>
    <t>28.</t>
  </si>
  <si>
    <t xml:space="preserve"> Затраты на производство продукции (работ, услуг)</t>
  </si>
  <si>
    <t>из  них:</t>
  </si>
  <si>
    <t xml:space="preserve"> Материальные затраты</t>
  </si>
  <si>
    <t xml:space="preserve"> Затраты на оплату труда</t>
  </si>
  <si>
    <t xml:space="preserve"> Амортизация основных фондов и нематериальных активов</t>
  </si>
  <si>
    <t xml:space="preserve"> Прочие затраты</t>
  </si>
  <si>
    <t>29.</t>
  </si>
  <si>
    <t>Средства предприятий (организаций) - всего</t>
  </si>
  <si>
    <t>Бухг.</t>
  </si>
  <si>
    <t xml:space="preserve"> Основные средства и прочие внеоборотные активы</t>
  </si>
  <si>
    <t>ф-1 СТР. 130</t>
  </si>
  <si>
    <t>основные средства</t>
  </si>
  <si>
    <t>Ф-1 стр. 012</t>
  </si>
  <si>
    <t xml:space="preserve"> нематериальные  активы</t>
  </si>
  <si>
    <t>Ф-1 стр. 022</t>
  </si>
  <si>
    <t xml:space="preserve"> Оборотные активы</t>
  </si>
  <si>
    <t>Ф-1 стр. 390</t>
  </si>
  <si>
    <t>Наличие товаро-материальных ценностей  -  всего</t>
  </si>
  <si>
    <t>Ф-1 стр. 140</t>
  </si>
  <si>
    <t xml:space="preserve">  производственные  запасы</t>
  </si>
  <si>
    <t>Ф-1 стр. 150</t>
  </si>
  <si>
    <t xml:space="preserve">  готовая продукция</t>
  </si>
  <si>
    <t>Ф-1 стр. 170</t>
  </si>
  <si>
    <t>Денежные средства  -  всего</t>
  </si>
  <si>
    <t>Ф-1 стр. 320</t>
  </si>
  <si>
    <t>валютный счет</t>
  </si>
  <si>
    <t>30.</t>
  </si>
  <si>
    <t xml:space="preserve"> Норматив оборотных средств</t>
  </si>
  <si>
    <t>Дебиторская задолженность, всего</t>
  </si>
  <si>
    <t>RIMMA ISHAQOVNAS</t>
  </si>
  <si>
    <t>- без внутриведомствен.</t>
  </si>
  <si>
    <t>- Узбекистан</t>
  </si>
  <si>
    <t>Кредиторская задолженность, всего</t>
  </si>
  <si>
    <t>- без внутриведомств.</t>
  </si>
  <si>
    <t>- США</t>
  </si>
  <si>
    <t>- Германия</t>
  </si>
  <si>
    <t>- Казахстан</t>
  </si>
  <si>
    <t>- Россия</t>
  </si>
  <si>
    <t>Якубов  Э.О.</t>
  </si>
  <si>
    <t>Главный бухгалтер</t>
  </si>
  <si>
    <t>Умаров  З.Т.</t>
  </si>
  <si>
    <t>Муталимов Л.Т.</t>
  </si>
  <si>
    <t xml:space="preserve"> Единый соц.платеж (12% от ФОТ)</t>
  </si>
  <si>
    <t xml:space="preserve">Заместитель Генерального  директора  </t>
  </si>
  <si>
    <t>Начальник  ОТиЗ</t>
  </si>
  <si>
    <t>1 полугодие  2019 года</t>
  </si>
  <si>
    <t>Реализация платных услуг</t>
  </si>
  <si>
    <t xml:space="preserve">Освоено капитальных вложений </t>
  </si>
  <si>
    <t xml:space="preserve"> отчисления в Республиканский дорожный фонд (1,4%)</t>
  </si>
  <si>
    <t xml:space="preserve"> Фонд реконструкции, капитального ремонта и оснащения образовательных учреждений (0,5%)</t>
  </si>
  <si>
    <t xml:space="preserve"> Единый соц.платеж (25% от ФОТ)</t>
  </si>
  <si>
    <t>31.</t>
  </si>
  <si>
    <t>32.</t>
  </si>
  <si>
    <t>Начальник  ОЭАиП</t>
  </si>
  <si>
    <t>Муталимов  Л.Т.</t>
  </si>
  <si>
    <t>О выполнении параметров Бизнес плана за 1  полугодие  2020 года</t>
  </si>
  <si>
    <t>1 полугодие  2020 года</t>
  </si>
  <si>
    <t>Прочие  налоги (ФРНО, ж/д перевозки 0,15% от  дохода)</t>
  </si>
  <si>
    <t>Бегматов  Ш.Т.</t>
  </si>
  <si>
    <t>Заместитель Генерального                          директора  АО "Узбекуголь"</t>
  </si>
  <si>
    <t>О выполнении параметров Бизнес плана за 9 месяцев  2020 года</t>
  </si>
  <si>
    <t>за 9 месяцев  2020 года</t>
  </si>
  <si>
    <t>за 9 месяцев  2019 года</t>
  </si>
  <si>
    <t>Производство непродовольственных товаров народного потребления  с  НДС</t>
  </si>
  <si>
    <t>О выполнении параметров Бизнес плана за  2020 год.</t>
  </si>
  <si>
    <t>за 2020 год.</t>
  </si>
  <si>
    <t>за  2019 год.</t>
  </si>
  <si>
    <t>прочие  налоги (ФРНО, ж/д перевозки 0,15% от  дохода)</t>
  </si>
  <si>
    <t>Прочие  налоги (пеня и другие)</t>
  </si>
  <si>
    <t>Реализация платных услуг населению без НДС</t>
  </si>
  <si>
    <t>О выполнении параметров Бизнес плана за 1 полугодие  2021 года</t>
  </si>
  <si>
    <t xml:space="preserve"> Факт за                   1 полугодие           2020 г.</t>
  </si>
  <si>
    <t>1 полугодие  2021 года</t>
  </si>
  <si>
    <t xml:space="preserve"> Факт за                   9-месяцев           2020 г.</t>
  </si>
  <si>
    <t>9-месяцев  2021 года</t>
  </si>
  <si>
    <t>О выполнении параметров Бизнес плана за 9 месяцев  2021 года</t>
  </si>
  <si>
    <t>О выполнении параметров Бизнес плана за  2021 год.</t>
  </si>
  <si>
    <t>за 2021 год.</t>
  </si>
  <si>
    <t>за  2020 год.</t>
  </si>
  <si>
    <t>Реализация платных услуг населению без  НДС</t>
  </si>
  <si>
    <t>Производство непродовольственных товаров народного потребления с  НДС</t>
  </si>
  <si>
    <t>Исполнитель  Шарипова  Ш.Ч.</t>
  </si>
  <si>
    <t>О выполнении параметров Бизнес плана за 1 полугодие  2022 года</t>
  </si>
  <si>
    <t xml:space="preserve"> Факт за                   1 полугодие           2021 г.</t>
  </si>
  <si>
    <t>1 полугодие  2022 года</t>
  </si>
  <si>
    <t>О выполнении параметров Бизнес плана за  2022 год.</t>
  </si>
  <si>
    <t>за 2022 год.</t>
  </si>
  <si>
    <t>за  2021 год.</t>
  </si>
  <si>
    <t>Доходы от валютных курсовых разниц</t>
  </si>
  <si>
    <t>Умаров  А.Н.</t>
  </si>
  <si>
    <t>О выполнении параметров Бизнес плана за 1 квартал  2023 года</t>
  </si>
  <si>
    <t>1 квартал  2023 года</t>
  </si>
  <si>
    <t xml:space="preserve"> Факт за                   1 квартал           2022 г.</t>
  </si>
  <si>
    <t>1 полугодие  2023 года</t>
  </si>
  <si>
    <t xml:space="preserve"> Факт за                   1полугодие      2022 г.</t>
  </si>
  <si>
    <t>2.3.14. Обязат.платежи в бюджет, налоги,сборы</t>
  </si>
  <si>
    <t xml:space="preserve">  - отчисл.во внебюдж.пенс.фонд, ст.12б</t>
  </si>
  <si>
    <t xml:space="preserve">  - отчисл.во внебюдж.пенс.фонд, ст.15</t>
  </si>
  <si>
    <t xml:space="preserve">  - налог на имущ, по неиспольз.объектам Ангрен</t>
  </si>
  <si>
    <t xml:space="preserve">  - НДС</t>
  </si>
  <si>
    <t xml:space="preserve">  - налог на недра</t>
  </si>
  <si>
    <t xml:space="preserve">  - налог на имущество</t>
  </si>
  <si>
    <t xml:space="preserve">  - налог на воду</t>
  </si>
  <si>
    <t xml:space="preserve">  - налог на землю</t>
  </si>
  <si>
    <t xml:space="preserve">  - налог на землю по неиспольз.объектам Ангрен</t>
  </si>
  <si>
    <t xml:space="preserve">  - налог на дивиденд</t>
  </si>
  <si>
    <t xml:space="preserve">  - прочие</t>
  </si>
  <si>
    <t>О выполнении параметров Бизнес плана за 1 полугодие  2023 года (без спец.надбавки)</t>
  </si>
  <si>
    <t xml:space="preserve"> Факт за                   9 месяцев      2022 г.</t>
  </si>
  <si>
    <t>О выполнении параметров Бизнес плана за 9 месяцев 2023 года (без спец.надбавки)</t>
  </si>
  <si>
    <t>9-месяцев  2023 года</t>
  </si>
  <si>
    <t xml:space="preserve"> Затраты на оплату труда и единый соц.платеж</t>
  </si>
  <si>
    <t>О выполнении параметров бизнес плана за  2023 год  (со  спец.надбавкой)</t>
  </si>
  <si>
    <t xml:space="preserve">  2023 год</t>
  </si>
  <si>
    <t xml:space="preserve"> Факт за                        2022 г.</t>
  </si>
  <si>
    <t>Доход от  валютных курсовых  разниц</t>
  </si>
  <si>
    <t>25.</t>
  </si>
  <si>
    <t>Налог на прибыль с иностранных юридич.лиц</t>
  </si>
  <si>
    <t>Незавершенное производство</t>
  </si>
  <si>
    <t xml:space="preserve">Незавершенное производство </t>
  </si>
  <si>
    <t xml:space="preserve">факт </t>
  </si>
  <si>
    <t>9 месяцев  2024 года</t>
  </si>
  <si>
    <t xml:space="preserve"> Факт за                   9 месяцев      2023 г.</t>
  </si>
  <si>
    <t>О выполнении параметров Бизнес плана за 9 месяцев  2024 года (со  спец.надбавкой)</t>
  </si>
  <si>
    <t>Реализация угля, всего</t>
  </si>
  <si>
    <t>О выполнении параметров бизнес плана за  2024 год  (со  спец.надбавкой)</t>
  </si>
  <si>
    <t xml:space="preserve">  2024 год</t>
  </si>
  <si>
    <t xml:space="preserve"> Факт за                        2023 г.</t>
  </si>
  <si>
    <t>1 квартал  2025 года</t>
  </si>
  <si>
    <t xml:space="preserve"> Факт за                   1 квартал           2024 г.</t>
  </si>
  <si>
    <t xml:space="preserve"> Факт за                   1полугодие      2024 г.</t>
  </si>
  <si>
    <t>О выполнении параметров Бизнес плана за 1 квартал  2025 года (со  спец.надбавкой)</t>
  </si>
  <si>
    <t>О выполнении параметров Бизнес плана за 1 полугодие  2025 года (со  спец.надбавкой)</t>
  </si>
  <si>
    <t>1 полугодие  2025 года</t>
  </si>
  <si>
    <t>О выполнении параметров Бизнес плана за 9 месяцев  2025 года (со  спец.надбавкой)</t>
  </si>
  <si>
    <t>9 месяцев  2025 года</t>
  </si>
  <si>
    <t xml:space="preserve"> Факт за                   9 месяцев      2024 г.</t>
  </si>
  <si>
    <t>О выполнении параметров бизнес плана за  2025 год  (со  спец.надбавкой)</t>
  </si>
  <si>
    <t xml:space="preserve">  2025 год</t>
  </si>
  <si>
    <t xml:space="preserve"> Факт за                        2024 г.</t>
  </si>
  <si>
    <t>ф-1  строка  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</si>
</sst>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#,##0.0000000"/>
    <numFmt numFmtId="166" formatCode="_-* #,##0.000000_р_._-;\-* #,##0.000000_р_._-;_-* &quot;-&quot;??_р_._-;_-@_-"/>
    <numFmt numFmtId="167" formatCode="_-* #,##0.0_р_._-;\-* #,##0.0_р_._-;_-* &quot;-&quot;??_р_._-;_-@_-"/>
    <numFmt numFmtId="168" formatCode="_-* #,##0_р_._-;\-* #,##0_р_._-;_-* &quot;-&quot;??_р_._-;_-@_-"/>
    <numFmt numFmtId="169" formatCode="#,##0.000"/>
    <numFmt numFmtId="170" formatCode="0.0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\ _р_._-;\-* #,##0\ _р_._-;_-* &quot;-&quot;\ _р_._-;_-@_-"/>
    <numFmt numFmtId="175" formatCode="#,##0.0__;[Red]\-#,##0.0__;"/>
    <numFmt numFmtId="176" formatCode="0.0%"/>
    <numFmt numFmtId="177" formatCode="#"/>
    <numFmt numFmtId="178" formatCode="_-* #,##0.00\ _?_._-;\-* #,##0.00\ _?_._-;_-* &quot;-&quot;??\ _?_._-;_-@_-"/>
    <numFmt numFmtId="179" formatCode="_-* #,##0.00\ &quot;?.&quot;_-;\-* #,##0.00\ &quot;?.&quot;_-;_-* &quot;-&quot;??\ &quot;?.&quot;_-;_-@_-"/>
    <numFmt numFmtId="180" formatCode="#\,##0.00"/>
    <numFmt numFmtId="181" formatCode="#.00"/>
    <numFmt numFmtId="182" formatCode="\$#.00"/>
    <numFmt numFmtId="183" formatCode="#."/>
    <numFmt numFmtId="184" formatCode="%#.00"/>
    <numFmt numFmtId="185" formatCode="_-* #,##0\ &quot;d.&quot;_-;\-* #,##0\ &quot;d.&quot;_-;_-* &quot;-&quot;\ &quot;d.&quot;_-;_-@_-"/>
    <numFmt numFmtId="186" formatCode="_-* #,##0.00\ &quot;d.&quot;_-;\-* #,##0.00\ &quot;d.&quot;_-;_-* &quot;-&quot;??\ &quot;d.&quot;_-;_-@_-"/>
    <numFmt numFmtId="187" formatCode="#,##0.00;[Red]\(#,##0.00\)"/>
    <numFmt numFmtId="188" formatCode="_-* #,##0&quot; р &quot;_-;\-* #,##0&quot; р &quot;_-;_-* &quot;-&quot;&quot; р &quot;_-;_-@_-"/>
    <numFmt numFmtId="189" formatCode="_-* #,##0.00&quot; р &quot;_-;\-* #,##0.00&quot; р &quot;_-;_-* &quot;-&quot;??&quot; р &quot;_-;_-@_-"/>
    <numFmt numFmtId="190" formatCode="\$#,##0\ ;\(\$#,##0\)"/>
    <numFmt numFmtId="191" formatCode="_-* #,##0.00[$€-1]_-;\-* #,##0.00[$€-1]_-;_-* &quot;-&quot;??[$€-1]_-"/>
    <numFmt numFmtId="192" formatCode="_-* #,##0\ _d_._-;\-* #,##0\ _d_._-;_-* &quot;-&quot;\ _d_._-;_-@_-"/>
    <numFmt numFmtId="193" formatCode="_-* #,##0.00\ _d_._-;\-* #,##0.00\ _d_._-;_-* &quot;-&quot;??\ _d_._-;_-@_-"/>
    <numFmt numFmtId="194" formatCode="#,##0.00;\–#,##0.00;&quot;—&quot;"/>
    <numFmt numFmtId="195" formatCode="\+#,##0.00;\–#,##0.00;&quot;—&quot;"/>
    <numFmt numFmtId="196" formatCode="\+#,##0.0%;\–#,##0.0%;&quot;—&quot;"/>
    <numFmt numFmtId="197" formatCode="#,##0.0%;\–#,##0.0%;&quot;—&quot;"/>
    <numFmt numFmtId="198" formatCode="#,##0.0;[Red]\-#,##0.0;"/>
    <numFmt numFmtId="199" formatCode="_-* #,##0\ _?_._-;\-* #,##0\ _?_._-;_-* &quot;-&quot;\ _?_._-;_-@_-"/>
    <numFmt numFmtId="200" formatCode="_ &quot;\&quot;* #,##0.00_ ;_ &quot;\&quot;* \-#,##0.00_ ;_ &quot;\&quot;* &quot;-&quot;??_ ;_ @_ "/>
    <numFmt numFmtId="201" formatCode="_ &quot;$&quot;* #,##0.00_ ;_ &quot;$&quot;* \-#,##0.00_ ;_ &quot;$&quot;* &quot;-&quot;??_ ;_ @_ "/>
    <numFmt numFmtId="202" formatCode="&quot;\&quot;#,##0.00;[Red]&quot;\&quot;\-#,##0.00"/>
    <numFmt numFmtId="203" formatCode="_ &quot;$&quot;* #,##0_ ;_ &quot;$&quot;* \-#,##0_ ;_ &quot;$&quot;* &quot;-&quot;_ ;_ @_ "/>
    <numFmt numFmtId="204" formatCode="\$#,##0.00;\(\$#,##0.00\)"/>
    <numFmt numFmtId="205" formatCode="&quot;\&quot;#,##0;[Red]&quot;\&quot;\-#,##0"/>
    <numFmt numFmtId="206" formatCode="#,##0.0;[Red]\-#,##0.0"/>
    <numFmt numFmtId="207" formatCode="_ * #,##0_ ;_ * \-#,##0_ ;_ * &quot;-&quot;_ ;_ @_ "/>
    <numFmt numFmtId="208" formatCode="_ * #,##0.00_ ;_ * \-#,##0.00_ ;_ * &quot;-&quot;??_ ;_ @_ "/>
    <numFmt numFmtId="209" formatCode="_-* #,##0\ _с_ў_м_-;\-* #,##0\ _с_ў_м_-;_-* &quot;-&quot;??\ _с_ў_м_-;_-@_-"/>
    <numFmt numFmtId="210" formatCode="_ &quot;\&quot;* #,##0_ ;_ &quot;\&quot;* \-#,##0_ ;_ &quot;\&quot;* &quot;-&quot;_ ;_ @_ "/>
    <numFmt numFmtId="211" formatCode="#,##0__;[Red]\-#,##0__;"/>
    <numFmt numFmtId="212" formatCode="_-* #,##0_-;&quot;\&quot;\!\-* #,##0_-;_-* &quot;-&quot;_-;_-@_-"/>
  </numFmts>
  <fonts count="12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Arial Cyr"/>
      <charset val="204"/>
    </font>
    <font>
      <sz val="12"/>
      <color indexed="35"/>
      <name val="Courie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0"/>
      <name val="MS Sans Serif"/>
      <family val="2"/>
      <charset val="204"/>
    </font>
    <font>
      <sz val="10"/>
      <color indexed="0"/>
      <name val="Courier"/>
      <family val="1"/>
      <charset val="204"/>
    </font>
    <font>
      <sz val="10"/>
      <color indexed="72"/>
      <name val="Courier"/>
      <family val="1"/>
      <charset val="204"/>
    </font>
    <font>
      <sz val="10"/>
      <color indexed="24"/>
      <name val="Arial"/>
      <family val="2"/>
      <charset val="204"/>
    </font>
    <font>
      <sz val="10"/>
      <name val="ЏрЯмой Џроп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2"/>
      <color indexed="0"/>
      <name val="Courier"/>
      <family val="1"/>
      <charset val="204"/>
    </font>
    <font>
      <sz val="8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8"/>
      <name val="Times New Roman Cyr"/>
      <family val="1"/>
      <charset val="204"/>
    </font>
    <font>
      <sz val="10"/>
      <name val="Courier New CYR"/>
      <charset val="204"/>
    </font>
    <font>
      <sz val="11"/>
      <color indexed="8"/>
      <name val="Calibri"/>
      <family val="2"/>
    </font>
    <font>
      <sz val="10"/>
      <name val="Arial Cyr"/>
    </font>
    <font>
      <sz val="10"/>
      <name val="Times New Roman Cyr"/>
      <family val="1"/>
      <charset val="204"/>
    </font>
    <font>
      <sz val="10"/>
      <name val="Trebuchet MS"/>
      <family val="2"/>
    </font>
    <font>
      <sz val="10"/>
      <name val="Helv"/>
    </font>
    <font>
      <sz val="11"/>
      <name val="돋움"/>
      <family val="3"/>
      <charset val="129"/>
    </font>
    <font>
      <sz val="11"/>
      <name val="돋움"/>
      <family val="2"/>
      <charset val="129"/>
    </font>
    <font>
      <sz val="10"/>
      <name val="Arial"/>
      <family val="2"/>
    </font>
    <font>
      <sz val="10"/>
      <name val="Helv"/>
      <charset val="204"/>
    </font>
    <font>
      <sz val="12"/>
      <color indexed="16"/>
      <name val="Courier"/>
      <family val="1"/>
      <charset val="204"/>
    </font>
    <font>
      <b/>
      <sz val="18"/>
      <color indexed="16"/>
      <name val="Courier"/>
      <family val="1"/>
      <charset val="204"/>
    </font>
    <font>
      <b/>
      <sz val="12"/>
      <color indexed="16"/>
      <name val="Courier"/>
      <family val="1"/>
      <charset val="204"/>
    </font>
    <font>
      <sz val="11"/>
      <name val="돋움"/>
      <charset val="129"/>
    </font>
    <font>
      <sz val="10"/>
      <name val="Arial Cyr"/>
      <family val="2"/>
      <charset val="204"/>
    </font>
    <font>
      <sz val="10"/>
      <name val="Arial Cyr"/>
      <family val="1"/>
      <charset val="204"/>
    </font>
    <font>
      <sz val="10"/>
      <name val="Helv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±???A?"/>
      <family val="2"/>
      <charset val="204"/>
    </font>
    <font>
      <sz val="12"/>
      <name val="µ??oA?p"/>
      <family val="2"/>
      <charset val="204"/>
    </font>
    <font>
      <sz val="12"/>
      <name val="±¼¸²Ã¼"/>
      <family val="2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4"/>
      <name val="¾©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4"/>
      <name val="?©"/>
      <family val="2"/>
      <charset val="204"/>
    </font>
    <font>
      <b/>
      <sz val="12"/>
      <name val="Arial"/>
      <family val="2"/>
    </font>
    <font>
      <sz val="12"/>
      <name val="¾©"/>
      <family val="2"/>
      <charset val="204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Times New Roman Cyr"/>
      <charset val="204"/>
    </font>
    <font>
      <sz val="12"/>
      <name val="BCI Times New Roman UZ"/>
      <charset val="204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바탕체"/>
      <family val="1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b/>
      <i/>
      <sz val="10"/>
      <name val="Arial Cyr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mediumGray">
        <bgColor indexed="2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4">
    <xf numFmtId="0" fontId="0" fillId="0" borderId="0"/>
    <xf numFmtId="43" fontId="17" fillId="0" borderId="0" applyFont="0" applyFill="0" applyBorder="0" applyAlignment="0" applyProtection="0"/>
    <xf numFmtId="0" fontId="70" fillId="0" borderId="0"/>
    <xf numFmtId="177" fontId="38" fillId="0" borderId="0">
      <protection locked="0"/>
    </xf>
    <xf numFmtId="177" fontId="39" fillId="0" borderId="0">
      <protection locked="0"/>
    </xf>
    <xf numFmtId="177" fontId="39" fillId="0" borderId="0">
      <protection locked="0"/>
    </xf>
    <xf numFmtId="177" fontId="39" fillId="0" borderId="0">
      <protection locked="0"/>
    </xf>
    <xf numFmtId="177" fontId="39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17" fillId="0" borderId="0"/>
    <xf numFmtId="178" fontId="17" fillId="0" borderId="0" applyFont="0" applyFill="0" applyBorder="0" applyAlignment="0" applyProtection="0"/>
    <xf numFmtId="0" fontId="77" fillId="0" borderId="0"/>
    <xf numFmtId="0" fontId="77" fillId="0" borderId="0"/>
    <xf numFmtId="0" fontId="78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0" fillId="0" borderId="0"/>
    <xf numFmtId="0" fontId="70" fillId="0" borderId="0"/>
    <xf numFmtId="0" fontId="7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17" fillId="0" borderId="0"/>
    <xf numFmtId="0" fontId="70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0" fontId="42" fillId="0" borderId="0">
      <protection locked="0"/>
    </xf>
    <xf numFmtId="180" fontId="42" fillId="0" borderId="0">
      <protection locked="0"/>
    </xf>
    <xf numFmtId="180" fontId="42" fillId="0" borderId="0">
      <protection locked="0"/>
    </xf>
    <xf numFmtId="0" fontId="43" fillId="0" borderId="0">
      <protection locked="0"/>
    </xf>
    <xf numFmtId="177" fontId="72" fillId="0" borderId="0">
      <protection locked="0"/>
    </xf>
    <xf numFmtId="180" fontId="42" fillId="0" borderId="0">
      <protection locked="0"/>
    </xf>
    <xf numFmtId="180" fontId="42" fillId="0" borderId="0">
      <protection locked="0"/>
    </xf>
    <xf numFmtId="180" fontId="42" fillId="0" borderId="0">
      <protection locked="0"/>
    </xf>
    <xf numFmtId="180" fontId="42" fillId="0" borderId="0">
      <protection locked="0"/>
    </xf>
    <xf numFmtId="180" fontId="42" fillId="0" borderId="0">
      <protection locked="0"/>
    </xf>
    <xf numFmtId="180" fontId="42" fillId="0" borderId="0">
      <protection locked="0"/>
    </xf>
    <xf numFmtId="180" fontId="42" fillId="0" borderId="0">
      <protection locked="0"/>
    </xf>
    <xf numFmtId="180" fontId="42" fillId="0" borderId="0">
      <protection locked="0"/>
    </xf>
    <xf numFmtId="180" fontId="4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0" fontId="43" fillId="0" borderId="0">
      <protection locked="0"/>
    </xf>
    <xf numFmtId="177" fontId="7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181" fontId="42" fillId="0" borderId="0">
      <protection locked="0"/>
    </xf>
    <xf numFmtId="177" fontId="43" fillId="0" borderId="0">
      <protection locked="0"/>
    </xf>
    <xf numFmtId="177" fontId="43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0" fontId="43" fillId="0" borderId="0">
      <protection locked="0"/>
    </xf>
    <xf numFmtId="177" fontId="72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182" fontId="42" fillId="0" borderId="0">
      <protection locked="0"/>
    </xf>
    <xf numFmtId="183" fontId="42" fillId="0" borderId="8">
      <protection locked="0"/>
    </xf>
    <xf numFmtId="183" fontId="42" fillId="0" borderId="8">
      <protection locked="0"/>
    </xf>
    <xf numFmtId="183" fontId="42" fillId="0" borderId="8">
      <protection locked="0"/>
    </xf>
    <xf numFmtId="0" fontId="43" fillId="0" borderId="8">
      <protection locked="0"/>
    </xf>
    <xf numFmtId="177" fontId="72" fillId="0" borderId="8">
      <protection locked="0"/>
    </xf>
    <xf numFmtId="183" fontId="42" fillId="0" borderId="8">
      <protection locked="0"/>
    </xf>
    <xf numFmtId="183" fontId="42" fillId="0" borderId="8">
      <protection locked="0"/>
    </xf>
    <xf numFmtId="183" fontId="42" fillId="0" borderId="8">
      <protection locked="0"/>
    </xf>
    <xf numFmtId="183" fontId="42" fillId="0" borderId="8">
      <protection locked="0"/>
    </xf>
    <xf numFmtId="183" fontId="42" fillId="0" borderId="8">
      <protection locked="0"/>
    </xf>
    <xf numFmtId="183" fontId="42" fillId="0" borderId="8">
      <protection locked="0"/>
    </xf>
    <xf numFmtId="183" fontId="42" fillId="0" borderId="8">
      <protection locked="0"/>
    </xf>
    <xf numFmtId="183" fontId="42" fillId="0" borderId="8">
      <protection locked="0"/>
    </xf>
    <xf numFmtId="183" fontId="42" fillId="0" borderId="8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0" fontId="45" fillId="0" borderId="0">
      <protection locked="0"/>
    </xf>
    <xf numFmtId="177" fontId="73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0" fontId="45" fillId="0" borderId="0">
      <protection locked="0"/>
    </xf>
    <xf numFmtId="177" fontId="7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83" fontId="44" fillId="0" borderId="0">
      <protection locked="0"/>
    </xf>
    <xf numFmtId="177" fontId="43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2" fontId="46" fillId="0" borderId="0">
      <protection locked="0"/>
    </xf>
    <xf numFmtId="177" fontId="46" fillId="0" borderId="8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4" fontId="46" fillId="0" borderId="0">
      <protection locked="0"/>
    </xf>
    <xf numFmtId="180" fontId="46" fillId="0" borderId="0">
      <protection locked="0"/>
    </xf>
    <xf numFmtId="181" fontId="46" fillId="0" borderId="0">
      <protection locked="0"/>
    </xf>
    <xf numFmtId="177" fontId="47" fillId="0" borderId="0">
      <protection locked="0"/>
    </xf>
    <xf numFmtId="177" fontId="48" fillId="0" borderId="0">
      <protection locked="0"/>
    </xf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5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5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00" fillId="0" borderId="0"/>
    <xf numFmtId="0" fontId="75" fillId="0" borderId="0"/>
    <xf numFmtId="0" fontId="49" fillId="7" borderId="0"/>
    <xf numFmtId="0" fontId="49" fillId="7" borderId="0"/>
    <xf numFmtId="0" fontId="49" fillId="7" borderId="0"/>
    <xf numFmtId="0" fontId="49" fillId="7" borderId="0"/>
    <xf numFmtId="0" fontId="49" fillId="7" borderId="0"/>
    <xf numFmtId="0" fontId="49" fillId="7" borderId="0"/>
    <xf numFmtId="0" fontId="49" fillId="7" borderId="0"/>
    <xf numFmtId="0" fontId="49" fillId="7" borderId="0"/>
    <xf numFmtId="0" fontId="49" fillId="7" borderId="0"/>
    <xf numFmtId="0" fontId="49" fillId="7" borderId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79" fillId="8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79" fillId="14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80" fillId="18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1" fillId="0" borderId="0" applyFont="0" applyFill="0" applyBorder="0" applyAlignment="0" applyProtection="0"/>
    <xf numFmtId="0" fontId="82" fillId="0" borderId="0" applyFont="0" applyFill="0" applyBorder="0" applyAlignment="0" applyProtection="0"/>
    <xf numFmtId="177" fontId="50" fillId="0" borderId="0">
      <protection locked="0"/>
    </xf>
    <xf numFmtId="177" fontId="50" fillId="0" borderId="0">
      <protection locked="0"/>
    </xf>
    <xf numFmtId="177" fontId="51" fillId="0" borderId="0">
      <protection locked="0"/>
    </xf>
    <xf numFmtId="200" fontId="81" fillId="0" borderId="0" applyFont="0" applyFill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24" borderId="0" applyNumberFormat="0" applyBorder="0" applyAlignment="0" applyProtection="0"/>
    <xf numFmtId="0" fontId="10" fillId="25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10" fillId="30" borderId="0" applyNumberFormat="0" applyBorder="0" applyAlignment="0" applyProtection="0"/>
    <xf numFmtId="0" fontId="21" fillId="3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1" fillId="28" borderId="0" applyNumberFormat="0" applyBorder="0" applyAlignment="0" applyProtection="0"/>
    <xf numFmtId="0" fontId="10" fillId="29" borderId="0" applyNumberFormat="0" applyBorder="0" applyAlignment="0" applyProtection="0"/>
    <xf numFmtId="0" fontId="21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10" fillId="25" borderId="0" applyNumberFormat="0" applyBorder="0" applyAlignment="0" applyProtection="0"/>
    <xf numFmtId="0" fontId="21" fillId="20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24" borderId="0" applyNumberFormat="0" applyBorder="0" applyAlignment="0" applyProtection="0"/>
    <xf numFmtId="0" fontId="10" fillId="34" borderId="0" applyNumberFormat="0" applyBorder="0" applyAlignment="0" applyProtection="0"/>
    <xf numFmtId="0" fontId="21" fillId="3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10" fillId="37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8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201" fontId="86" fillId="0" borderId="0" applyFont="0" applyFill="0" applyBorder="0" applyAlignment="0" applyProtection="0"/>
    <xf numFmtId="201" fontId="87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202" fontId="85" fillId="0" borderId="0" applyFont="0" applyFill="0" applyBorder="0" applyAlignment="0" applyProtection="0"/>
    <xf numFmtId="202" fontId="84" fillId="0" borderId="0" applyFont="0" applyFill="0" applyBorder="0" applyAlignment="0" applyProtection="0"/>
    <xf numFmtId="202" fontId="85" fillId="0" borderId="0" applyFont="0" applyFill="0" applyBorder="0" applyAlignment="0" applyProtection="0"/>
    <xf numFmtId="202" fontId="8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90" fillId="0" borderId="0" applyFont="0" applyFill="0" applyBorder="0" applyAlignment="0" applyProtection="0"/>
    <xf numFmtId="202" fontId="85" fillId="0" borderId="0" applyFont="0" applyFill="0" applyBorder="0" applyAlignment="0" applyProtection="0"/>
    <xf numFmtId="202" fontId="84" fillId="0" borderId="0" applyFont="0" applyFill="0" applyBorder="0" applyAlignment="0" applyProtection="0"/>
    <xf numFmtId="202" fontId="85" fillId="0" borderId="0" applyFont="0" applyFill="0" applyBorder="0" applyAlignment="0" applyProtection="0"/>
    <xf numFmtId="202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90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202" fontId="85" fillId="0" borderId="0" applyFont="0" applyFill="0" applyBorder="0" applyAlignment="0" applyProtection="0"/>
    <xf numFmtId="202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92" fillId="0" borderId="0" applyFont="0" applyFill="0" applyBorder="0" applyAlignment="0" applyProtection="0"/>
    <xf numFmtId="171" fontId="85" fillId="0" borderId="0" applyFont="0" applyFill="0" applyBorder="0" applyAlignment="0" applyProtection="0"/>
    <xf numFmtId="171" fontId="84" fillId="0" borderId="0" applyFont="0" applyFill="0" applyBorder="0" applyAlignment="0" applyProtection="0"/>
    <xf numFmtId="202" fontId="85" fillId="0" borderId="0" applyFont="0" applyFill="0" applyBorder="0" applyAlignment="0" applyProtection="0"/>
    <xf numFmtId="202" fontId="84" fillId="0" borderId="0" applyFont="0" applyFill="0" applyBorder="0" applyAlignment="0" applyProtection="0"/>
    <xf numFmtId="202" fontId="85" fillId="0" borderId="0" applyFont="0" applyFill="0" applyBorder="0" applyAlignment="0" applyProtection="0"/>
    <xf numFmtId="202" fontId="84" fillId="0" borderId="0" applyFont="0" applyFill="0" applyBorder="0" applyAlignment="0" applyProtection="0"/>
    <xf numFmtId="202" fontId="85" fillId="0" borderId="0" applyFont="0" applyFill="0" applyBorder="0" applyAlignment="0" applyProtection="0"/>
    <xf numFmtId="202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204" fontId="86" fillId="0" borderId="0" applyFont="0" applyFill="0" applyBorder="0" applyAlignment="0" applyProtection="0"/>
    <xf numFmtId="204" fontId="87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205" fontId="85" fillId="0" borderId="0" applyFont="0" applyFill="0" applyBorder="0" applyAlignment="0" applyProtection="0"/>
    <xf numFmtId="205" fontId="84" fillId="0" borderId="0" applyFont="0" applyFill="0" applyBorder="0" applyAlignment="0" applyProtection="0"/>
    <xf numFmtId="205" fontId="85" fillId="0" borderId="0" applyFont="0" applyFill="0" applyBorder="0" applyAlignment="0" applyProtection="0"/>
    <xf numFmtId="205" fontId="8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90" fillId="0" borderId="0" applyFont="0" applyFill="0" applyBorder="0" applyAlignment="0" applyProtection="0"/>
    <xf numFmtId="205" fontId="85" fillId="0" borderId="0" applyFont="0" applyFill="0" applyBorder="0" applyAlignment="0" applyProtection="0"/>
    <xf numFmtId="205" fontId="84" fillId="0" borderId="0" applyFont="0" applyFill="0" applyBorder="0" applyAlignment="0" applyProtection="0"/>
    <xf numFmtId="205" fontId="85" fillId="0" borderId="0" applyFont="0" applyFill="0" applyBorder="0" applyAlignment="0" applyProtection="0"/>
    <xf numFmtId="205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90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205" fontId="85" fillId="0" borderId="0" applyFont="0" applyFill="0" applyBorder="0" applyAlignment="0" applyProtection="0"/>
    <xf numFmtId="205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92" fillId="0" borderId="0" applyFont="0" applyFill="0" applyBorder="0" applyAlignment="0" applyProtection="0"/>
    <xf numFmtId="172" fontId="85" fillId="0" borderId="0" applyFont="0" applyFill="0" applyBorder="0" applyAlignment="0" applyProtection="0"/>
    <xf numFmtId="172" fontId="84" fillId="0" borderId="0" applyFont="0" applyFill="0" applyBorder="0" applyAlignment="0" applyProtection="0"/>
    <xf numFmtId="205" fontId="85" fillId="0" borderId="0" applyFont="0" applyFill="0" applyBorder="0" applyAlignment="0" applyProtection="0"/>
    <xf numFmtId="205" fontId="84" fillId="0" borderId="0" applyFont="0" applyFill="0" applyBorder="0" applyAlignment="0" applyProtection="0"/>
    <xf numFmtId="205" fontId="85" fillId="0" borderId="0" applyFont="0" applyFill="0" applyBorder="0" applyAlignment="0" applyProtection="0"/>
    <xf numFmtId="205" fontId="84" fillId="0" borderId="0" applyFont="0" applyFill="0" applyBorder="0" applyAlignment="0" applyProtection="0"/>
    <xf numFmtId="205" fontId="85" fillId="0" borderId="0" applyFont="0" applyFill="0" applyBorder="0" applyAlignment="0" applyProtection="0"/>
    <xf numFmtId="205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32" fillId="9" borderId="0" applyNumberFormat="0" applyBorder="0" applyAlignment="0" applyProtection="0"/>
    <xf numFmtId="38" fontId="19" fillId="27" borderId="5">
      <protection locked="0"/>
    </xf>
    <xf numFmtId="38" fontId="19" fillId="0" borderId="5"/>
    <xf numFmtId="38" fontId="96" fillId="0" borderId="5"/>
    <xf numFmtId="206" fontId="19" fillId="0" borderId="5"/>
    <xf numFmtId="0" fontId="96" fillId="0" borderId="5" applyNumberFormat="0">
      <alignment horizontal="center"/>
    </xf>
    <xf numFmtId="38" fontId="96" fillId="38" borderId="5" applyNumberFormat="0" applyFont="0" applyBorder="0" applyAlignment="0">
      <alignment horizontal="center"/>
    </xf>
    <xf numFmtId="0" fontId="97" fillId="0" borderId="5" applyNumberFormat="0"/>
    <xf numFmtId="0" fontId="96" fillId="0" borderId="5" applyNumberFormat="0"/>
    <xf numFmtId="0" fontId="97" fillId="0" borderId="5" applyNumberFormat="0">
      <alignment horizontal="right"/>
    </xf>
    <xf numFmtId="0" fontId="91" fillId="0" borderId="0"/>
    <xf numFmtId="0" fontId="84" fillId="0" borderId="0"/>
    <xf numFmtId="0" fontId="24" fillId="39" borderId="9" applyNumberFormat="0" applyAlignment="0" applyProtection="0"/>
    <xf numFmtId="0" fontId="29" fillId="40" borderId="10" applyNumberFormat="0" applyAlignment="0" applyProtection="0"/>
    <xf numFmtId="164" fontId="19" fillId="0" borderId="0" applyFill="0" applyBorder="0" applyAlignment="0" applyProtection="0"/>
    <xf numFmtId="174" fontId="17" fillId="0" borderId="0" applyFont="0" applyFill="0" applyBorder="0" applyAlignment="0" applyProtection="0"/>
    <xf numFmtId="187" fontId="49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7" fontId="19" fillId="0" borderId="0" applyFill="0" applyBorder="0" applyAlignment="0" applyProtection="0"/>
    <xf numFmtId="188" fontId="53" fillId="0" borderId="0" applyFont="0" applyFill="0" applyBorder="0" applyAlignment="0" applyProtection="0"/>
    <xf numFmtId="189" fontId="53" fillId="0" borderId="0" applyFont="0" applyFill="0" applyBorder="0" applyAlignment="0" applyProtection="0"/>
    <xf numFmtId="190" fontId="52" fillId="0" borderId="0" applyFont="0" applyFill="0" applyBorder="0" applyAlignment="0" applyProtection="0"/>
    <xf numFmtId="3" fontId="17" fillId="0" borderId="0" applyFont="0" applyFill="0" applyBorder="0" applyAlignment="0" applyProtection="0"/>
    <xf numFmtId="190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191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6" fillId="10" borderId="0" applyNumberFormat="0" applyBorder="0" applyAlignment="0" applyProtection="0"/>
    <xf numFmtId="0" fontId="99" fillId="0" borderId="11" applyNumberFormat="0" applyAlignment="0" applyProtection="0">
      <alignment horizontal="left" vertical="center"/>
    </xf>
    <xf numFmtId="0" fontId="99" fillId="0" borderId="12">
      <alignment horizontal="left" vertical="center"/>
    </xf>
    <xf numFmtId="0" fontId="5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177" fontId="50" fillId="0" borderId="0">
      <protection locked="0"/>
    </xf>
    <xf numFmtId="0" fontId="37" fillId="0" borderId="0"/>
    <xf numFmtId="177" fontId="56" fillId="0" borderId="0">
      <protection locked="0"/>
    </xf>
    <xf numFmtId="0" fontId="76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22" fillId="13" borderId="9" applyNumberFormat="0" applyAlignment="0" applyProtection="0"/>
    <xf numFmtId="0" fontId="34" fillId="0" borderId="16" applyNumberFormat="0" applyFill="0" applyAlignment="0" applyProtection="0"/>
    <xf numFmtId="0" fontId="31" fillId="44" borderId="0" applyNumberFormat="0" applyBorder="0" applyAlignment="0" applyProtection="0"/>
    <xf numFmtId="0" fontId="49" fillId="0" borderId="17"/>
    <xf numFmtId="0" fontId="49" fillId="0" borderId="17"/>
    <xf numFmtId="0" fontId="49" fillId="0" borderId="17"/>
    <xf numFmtId="0" fontId="49" fillId="0" borderId="17"/>
    <xf numFmtId="0" fontId="49" fillId="0" borderId="17"/>
    <xf numFmtId="0" fontId="49" fillId="0" borderId="17"/>
    <xf numFmtId="0" fontId="49" fillId="0" borderId="17"/>
    <xf numFmtId="0" fontId="49" fillId="0" borderId="17"/>
    <xf numFmtId="0" fontId="49" fillId="0" borderId="17"/>
    <xf numFmtId="0" fontId="49" fillId="0" borderId="17"/>
    <xf numFmtId="0" fontId="5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7" fillId="0" borderId="0"/>
    <xf numFmtId="0" fontId="20" fillId="45" borderId="18" applyNumberFormat="0" applyFont="0" applyAlignment="0" applyProtection="0"/>
    <xf numFmtId="0" fontId="20" fillId="27" borderId="18" applyNumberFormat="0" applyFont="0" applyAlignment="0" applyProtection="0"/>
    <xf numFmtId="0" fontId="17" fillId="45" borderId="18" applyNumberFormat="0" applyFont="0" applyAlignment="0" applyProtection="0"/>
    <xf numFmtId="192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77" fontId="50" fillId="0" borderId="0">
      <protection locked="0"/>
    </xf>
    <xf numFmtId="177" fontId="50" fillId="0" borderId="0">
      <protection locked="0"/>
    </xf>
    <xf numFmtId="207" fontId="81" fillId="0" borderId="0" applyFont="0" applyFill="0" applyBorder="0" applyAlignment="0" applyProtection="0"/>
    <xf numFmtId="177" fontId="51" fillId="0" borderId="0">
      <protection locked="0"/>
    </xf>
    <xf numFmtId="208" fontId="81" fillId="0" borderId="0" applyFont="0" applyFill="0" applyBorder="0" applyAlignment="0" applyProtection="0"/>
    <xf numFmtId="0" fontId="23" fillId="39" borderId="19" applyNumberFormat="0" applyAlignment="0" applyProtection="0"/>
    <xf numFmtId="10" fontId="19" fillId="0" borderId="0" applyFill="0" applyBorder="0" applyAlignment="0" applyProtection="0"/>
    <xf numFmtId="0" fontId="17" fillId="0" borderId="0"/>
    <xf numFmtId="0" fontId="5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20" applyNumberFormat="0" applyFont="0" applyFill="0" applyAlignment="0" applyProtection="0"/>
    <xf numFmtId="0" fontId="28" fillId="0" borderId="21" applyNumberFormat="0" applyFill="0" applyAlignment="0" applyProtection="0"/>
    <xf numFmtId="0" fontId="52" fillId="0" borderId="20" applyNumberFormat="0" applyFont="0" applyFill="0" applyAlignment="0" applyProtection="0"/>
    <xf numFmtId="0" fontId="52" fillId="0" borderId="20" applyNumberFormat="0" applyFont="0" applyFill="0" applyAlignment="0" applyProtection="0"/>
    <xf numFmtId="0" fontId="52" fillId="0" borderId="20" applyNumberFormat="0" applyFont="0" applyFill="0" applyAlignment="0" applyProtection="0"/>
    <xf numFmtId="0" fontId="52" fillId="0" borderId="20" applyNumberFormat="0" applyFont="0" applyFill="0" applyAlignment="0" applyProtection="0"/>
    <xf numFmtId="0" fontId="52" fillId="0" borderId="20" applyNumberFormat="0" applyFont="0" applyFill="0" applyAlignment="0" applyProtection="0"/>
    <xf numFmtId="0" fontId="52" fillId="0" borderId="20" applyNumberFormat="0" applyFont="0" applyFill="0" applyAlignment="0" applyProtection="0"/>
    <xf numFmtId="0" fontId="52" fillId="0" borderId="20" applyNumberFormat="0" applyFont="0" applyFill="0" applyAlignment="0" applyProtection="0"/>
    <xf numFmtId="0" fontId="52" fillId="0" borderId="20" applyNumberFormat="0" applyFont="0" applyFill="0" applyAlignment="0" applyProtection="0"/>
    <xf numFmtId="0" fontId="52" fillId="0" borderId="20" applyNumberFormat="0" applyFont="0" applyFill="0" applyAlignment="0" applyProtection="0"/>
    <xf numFmtId="0" fontId="35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2" fillId="13" borderId="9" applyNumberFormat="0" applyAlignment="0" applyProtection="0"/>
    <xf numFmtId="0" fontId="22" fillId="13" borderId="9" applyNumberFormat="0" applyAlignment="0" applyProtection="0"/>
    <xf numFmtId="0" fontId="22" fillId="13" borderId="9" applyNumberFormat="0" applyAlignment="0" applyProtection="0"/>
    <xf numFmtId="0" fontId="22" fillId="13" borderId="9" applyNumberFormat="0" applyAlignment="0" applyProtection="0"/>
    <xf numFmtId="0" fontId="22" fillId="13" borderId="9" applyNumberFormat="0" applyAlignment="0" applyProtection="0"/>
    <xf numFmtId="0" fontId="22" fillId="13" borderId="9" applyNumberFormat="0" applyAlignment="0" applyProtection="0"/>
    <xf numFmtId="0" fontId="22" fillId="13" borderId="9" applyNumberFormat="0" applyAlignment="0" applyProtection="0"/>
    <xf numFmtId="0" fontId="22" fillId="13" borderId="9" applyNumberFormat="0" applyAlignment="0" applyProtection="0"/>
    <xf numFmtId="0" fontId="22" fillId="13" borderId="9" applyNumberFormat="0" applyAlignment="0" applyProtection="0"/>
    <xf numFmtId="0" fontId="22" fillId="13" borderId="9" applyNumberFormat="0" applyAlignment="0" applyProtection="0"/>
    <xf numFmtId="0" fontId="22" fillId="13" borderId="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3" fillId="39" borderId="1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0" fontId="24" fillId="39" borderId="9" applyNumberFormat="0" applyAlignment="0" applyProtection="0"/>
    <xf numFmtId="14" fontId="59" fillId="0" borderId="0" applyFont="0" applyFill="0" applyBorder="0" applyAlignment="0" applyProtection="0">
      <alignment vertical="top"/>
    </xf>
    <xf numFmtId="209" fontId="7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207" fontId="101" fillId="0" borderId="0" applyFont="0" applyFill="0" applyBorder="0" applyAlignment="0" applyProtection="0"/>
    <xf numFmtId="0" fontId="102" fillId="0" borderId="0" applyFont="0" applyFill="0" applyBorder="0" applyAlignment="0" applyProtection="0"/>
    <xf numFmtId="210" fontId="101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37" fillId="0" borderId="0">
      <alignment horizontal="center"/>
    </xf>
    <xf numFmtId="194" fontId="60" fillId="0" borderId="0" applyNumberFormat="0" applyFill="0" applyBorder="0" applyAlignment="0" applyProtection="0">
      <alignment vertical="top"/>
    </xf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2" fillId="0" borderId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0" fontId="29" fillId="40" borderId="10" applyNumberFormat="0" applyAlignment="0" applyProtection="0"/>
    <xf numFmtId="194" fontId="61" fillId="0" borderId="0" applyNumberFormat="0" applyFill="0" applyBorder="0" applyAlignment="0" applyProtection="0">
      <alignment vertical="top"/>
    </xf>
    <xf numFmtId="194" fontId="61" fillId="0" borderId="0" applyNumberFormat="0" applyFill="0" applyBorder="0" applyAlignment="0" applyProtection="0">
      <alignment vertical="top"/>
    </xf>
    <xf numFmtId="194" fontId="61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/>
    <xf numFmtId="194" fontId="61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/>
    <xf numFmtId="194" fontId="61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/>
    <xf numFmtId="194" fontId="61" fillId="0" borderId="0" applyNumberFormat="0" applyFill="0" applyBorder="0" applyAlignment="0" applyProtection="0">
      <alignment vertical="top"/>
    </xf>
    <xf numFmtId="194" fontId="61" fillId="0" borderId="0" applyNumberFormat="0" applyFill="0" applyBorder="0" applyAlignment="0" applyProtection="0">
      <alignment vertical="top"/>
    </xf>
    <xf numFmtId="194" fontId="61" fillId="0" borderId="0" applyNumberFormat="0" applyFill="0" applyBorder="0" applyAlignment="0" applyProtection="0">
      <alignment vertical="top"/>
    </xf>
    <xf numFmtId="194" fontId="61" fillId="0" borderId="0" applyNumberFormat="0" applyFill="0" applyBorder="0" applyAlignment="0" applyProtection="0">
      <alignment vertical="top"/>
    </xf>
    <xf numFmtId="194" fontId="61" fillId="0" borderId="0" applyNumberFormat="0" applyFill="0" applyBorder="0" applyAlignment="0" applyProtection="0">
      <alignment vertical="top"/>
    </xf>
    <xf numFmtId="194" fontId="61" fillId="0" borderId="0" applyNumberFormat="0" applyFill="0" applyBorder="0" applyAlignment="0" applyProtection="0">
      <alignment vertical="top"/>
    </xf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76" fillId="0" borderId="0"/>
    <xf numFmtId="195" fontId="59" fillId="0" borderId="0" applyFont="0" applyFill="0" applyBorder="0" applyAlignment="0" applyProtection="0">
      <alignment vertical="top"/>
    </xf>
    <xf numFmtId="0" fontId="17" fillId="0" borderId="0"/>
    <xf numFmtId="0" fontId="19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62" fillId="0" borderId="0"/>
    <xf numFmtId="0" fontId="17" fillId="0" borderId="0"/>
    <xf numFmtId="0" fontId="62" fillId="0" borderId="0"/>
    <xf numFmtId="0" fontId="1" fillId="0" borderId="0"/>
    <xf numFmtId="0" fontId="62" fillId="0" borderId="0"/>
    <xf numFmtId="0" fontId="124" fillId="0" borderId="0"/>
    <xf numFmtId="0" fontId="62" fillId="0" borderId="0"/>
    <xf numFmtId="0" fontId="6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" fillId="0" borderId="0"/>
    <xf numFmtId="0" fontId="19" fillId="0" borderId="0"/>
    <xf numFmtId="0" fontId="76" fillId="0" borderId="0"/>
    <xf numFmtId="0" fontId="20" fillId="0" borderId="0"/>
    <xf numFmtId="0" fontId="19" fillId="0" borderId="0"/>
    <xf numFmtId="0" fontId="17" fillId="0" borderId="0"/>
    <xf numFmtId="0" fontId="19" fillId="0" borderId="0"/>
    <xf numFmtId="0" fontId="10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3" fillId="0" borderId="0"/>
    <xf numFmtId="0" fontId="20" fillId="0" borderId="0"/>
    <xf numFmtId="0" fontId="1" fillId="0" borderId="0"/>
    <xf numFmtId="0" fontId="19" fillId="0" borderId="0" applyNumberFormat="0" applyFont="0" applyFill="0" applyBorder="0" applyAlignment="0" applyProtection="0">
      <alignment vertical="top"/>
    </xf>
    <xf numFmtId="0" fontId="17" fillId="0" borderId="0" applyFill="0" applyBorder="0" applyAlignment="0" applyProtection="0"/>
    <xf numFmtId="0" fontId="17" fillId="0" borderId="0"/>
    <xf numFmtId="0" fontId="17" fillId="0" borderId="0"/>
    <xf numFmtId="0" fontId="19" fillId="0" borderId="0" applyNumberFormat="0" applyFont="0" applyFill="0" applyBorder="0" applyAlignment="0" applyProtection="0">
      <alignment vertical="top"/>
    </xf>
    <xf numFmtId="0" fontId="17" fillId="0" borderId="0"/>
    <xf numFmtId="0" fontId="19" fillId="0" borderId="0" applyNumberFormat="0" applyFont="0" applyFill="0" applyBorder="0" applyAlignment="0" applyProtection="0">
      <alignment vertical="top"/>
    </xf>
    <xf numFmtId="0" fontId="17" fillId="0" borderId="0"/>
    <xf numFmtId="0" fontId="17" fillId="0" borderId="0"/>
    <xf numFmtId="0" fontId="19" fillId="0" borderId="0" applyNumberFormat="0" applyFont="0" applyFill="0" applyBorder="0" applyAlignment="0" applyProtection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64" fillId="0" borderId="0"/>
    <xf numFmtId="0" fontId="64" fillId="0" borderId="0"/>
    <xf numFmtId="0" fontId="64" fillId="0" borderId="0"/>
    <xf numFmtId="0" fontId="19" fillId="0" borderId="0" applyNumberFormat="0" applyFont="0" applyFill="0" applyBorder="0" applyAlignment="0" applyProtection="0">
      <alignment vertical="top"/>
    </xf>
    <xf numFmtId="0" fontId="19" fillId="0" borderId="0" applyNumberFormat="0" applyFont="0" applyFill="0" applyBorder="0" applyAlignment="0" applyProtection="0">
      <alignment vertical="top"/>
    </xf>
    <xf numFmtId="0" fontId="19" fillId="0" borderId="0"/>
    <xf numFmtId="0" fontId="19" fillId="0" borderId="0"/>
    <xf numFmtId="0" fontId="17" fillId="0" borderId="0" applyFill="0" applyBorder="0" applyAlignment="0" applyProtection="0"/>
    <xf numFmtId="0" fontId="20" fillId="0" borderId="0"/>
    <xf numFmtId="0" fontId="17" fillId="0" borderId="0" applyFill="0" applyBorder="0" applyAlignment="0" applyProtection="0"/>
    <xf numFmtId="0" fontId="17" fillId="0" borderId="0" applyFill="0" applyBorder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05" fillId="0" borderId="0"/>
    <xf numFmtId="0" fontId="17" fillId="0" borderId="0"/>
    <xf numFmtId="0" fontId="19" fillId="0" borderId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45" borderId="18" applyNumberFormat="0" applyFont="0" applyAlignment="0" applyProtection="0"/>
    <xf numFmtId="0" fontId="19" fillId="45" borderId="18" applyNumberFormat="0" applyFont="0" applyAlignment="0" applyProtection="0"/>
    <xf numFmtId="0" fontId="19" fillId="45" borderId="18" applyNumberFormat="0" applyFont="0" applyAlignment="0" applyProtection="0"/>
    <xf numFmtId="0" fontId="19" fillId="45" borderId="18" applyNumberFormat="0" applyFont="0" applyAlignment="0" applyProtection="0"/>
    <xf numFmtId="0" fontId="19" fillId="45" borderId="18" applyNumberFormat="0" applyFont="0" applyAlignment="0" applyProtection="0"/>
    <xf numFmtId="0" fontId="19" fillId="45" borderId="18" applyNumberFormat="0" applyFont="0" applyAlignment="0" applyProtection="0"/>
    <xf numFmtId="0" fontId="20" fillId="45" borderId="18" applyNumberFormat="0" applyFont="0" applyAlignment="0" applyProtection="0"/>
    <xf numFmtId="0" fontId="19" fillId="45" borderId="18" applyNumberFormat="0" applyFont="0" applyAlignment="0" applyProtection="0"/>
    <xf numFmtId="0" fontId="19" fillId="45" borderId="18" applyNumberFormat="0" applyFont="0" applyAlignment="0" applyProtection="0"/>
    <xf numFmtId="0" fontId="19" fillId="45" borderId="18" applyNumberFormat="0" applyFont="0" applyAlignment="0" applyProtection="0"/>
    <xf numFmtId="0" fontId="19" fillId="45" borderId="18" applyNumberFormat="0" applyFont="0" applyAlignment="0" applyProtection="0"/>
    <xf numFmtId="0" fontId="19" fillId="45" borderId="18" applyNumberFormat="0" applyFont="0" applyAlignment="0" applyProtection="0"/>
    <xf numFmtId="196" fontId="59" fillId="0" borderId="0" applyFont="0" applyFill="0" applyBorder="0" applyAlignment="0" applyProtection="0">
      <alignment vertical="top"/>
    </xf>
    <xf numFmtId="197" fontId="6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66" fillId="0" borderId="0" applyFont="0" applyFill="0" applyBorder="0" applyAlignment="0" applyProtection="0">
      <alignment vertical="center"/>
    </xf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198" fontId="17" fillId="0" borderId="22"/>
    <xf numFmtId="0" fontId="67" fillId="0" borderId="0"/>
    <xf numFmtId="0" fontId="78" fillId="0" borderId="0"/>
    <xf numFmtId="0" fontId="17" fillId="0" borderId="0"/>
    <xf numFmtId="0" fontId="19" fillId="0" borderId="0"/>
    <xf numFmtId="49" fontId="59" fillId="0" borderId="0" applyFont="0" applyFill="0" applyBorder="0" applyProtection="0">
      <alignment vertical="top" wrapText="1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9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206" fontId="70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66" fillId="0" borderId="0" applyFont="0" applyFill="0" applyBorder="0" applyAlignment="0" applyProtection="0">
      <alignment vertical="center"/>
    </xf>
    <xf numFmtId="168" fontId="66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200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63" fillId="0" borderId="0" applyFont="0" applyFill="0" applyBorder="0" applyAlignment="0" applyProtection="0"/>
    <xf numFmtId="211" fontId="19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184" fontId="42" fillId="0" borderId="0">
      <protection locked="0"/>
    </xf>
    <xf numFmtId="184" fontId="42" fillId="0" borderId="0">
      <protection locked="0"/>
    </xf>
    <xf numFmtId="184" fontId="42" fillId="0" borderId="0">
      <protection locked="0"/>
    </xf>
    <xf numFmtId="0" fontId="43" fillId="0" borderId="0">
      <protection locked="0"/>
    </xf>
    <xf numFmtId="177" fontId="72" fillId="0" borderId="0">
      <protection locked="0"/>
    </xf>
    <xf numFmtId="184" fontId="42" fillId="0" borderId="0">
      <protection locked="0"/>
    </xf>
    <xf numFmtId="184" fontId="42" fillId="0" borderId="0">
      <protection locked="0"/>
    </xf>
    <xf numFmtId="184" fontId="42" fillId="0" borderId="0">
      <protection locked="0"/>
    </xf>
    <xf numFmtId="184" fontId="42" fillId="0" borderId="0">
      <protection locked="0"/>
    </xf>
    <xf numFmtId="184" fontId="42" fillId="0" borderId="0">
      <protection locked="0"/>
    </xf>
    <xf numFmtId="184" fontId="42" fillId="0" borderId="0">
      <protection locked="0"/>
    </xf>
    <xf numFmtId="184" fontId="42" fillId="0" borderId="0">
      <protection locked="0"/>
    </xf>
    <xf numFmtId="184" fontId="42" fillId="0" borderId="0">
      <protection locked="0"/>
    </xf>
    <xf numFmtId="184" fontId="42" fillId="0" borderId="0">
      <protection locked="0"/>
    </xf>
    <xf numFmtId="194" fontId="59" fillId="46" borderId="0" applyNumberFormat="0" applyFont="0" applyBorder="0" applyProtection="0">
      <alignment horizontal="center" vertical="center" wrapText="1"/>
    </xf>
    <xf numFmtId="0" fontId="80" fillId="22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40" borderId="10" applyNumberFormat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70" fillId="45" borderId="18" applyNumberFormat="0" applyFont="0" applyAlignment="0" applyProtection="0">
      <alignment vertical="center"/>
    </xf>
    <xf numFmtId="0" fontId="109" fillId="0" borderId="16" applyNumberFormat="0" applyFill="0" applyAlignment="0" applyProtection="0">
      <alignment vertical="center"/>
    </xf>
    <xf numFmtId="9" fontId="110" fillId="0" borderId="0" applyFont="0" applyFill="0" applyBorder="0" applyAlignment="0" applyProtection="0"/>
    <xf numFmtId="212" fontId="75" fillId="0" borderId="0" applyFont="0" applyFill="0" applyBorder="0" applyAlignment="0" applyProtection="0"/>
    <xf numFmtId="207" fontId="68" fillId="0" borderId="0" applyFont="0" applyFill="0" applyBorder="0" applyAlignment="0" applyProtection="0"/>
    <xf numFmtId="208" fontId="68" fillId="0" borderId="0" applyFont="0" applyFill="0" applyBorder="0" applyAlignment="0" applyProtection="0"/>
    <xf numFmtId="210" fontId="110" fillId="0" borderId="0" applyFont="0" applyFill="0" applyBorder="0" applyAlignment="0" applyProtection="0"/>
    <xf numFmtId="200" fontId="110" fillId="0" borderId="0" applyFont="0" applyFill="0" applyBorder="0" applyAlignment="0" applyProtection="0"/>
    <xf numFmtId="0" fontId="113" fillId="0" borderId="0"/>
    <xf numFmtId="0" fontId="114" fillId="0" borderId="0" applyFont="0" applyFill="0" applyBorder="0" applyAlignment="0" applyProtection="0"/>
    <xf numFmtId="0" fontId="111" fillId="13" borderId="9" applyNumberFormat="0" applyAlignment="0" applyProtection="0">
      <alignment vertical="center"/>
    </xf>
    <xf numFmtId="0" fontId="112" fillId="39" borderId="19" applyNumberFormat="0" applyAlignment="0" applyProtection="0">
      <alignment vertical="center"/>
    </xf>
    <xf numFmtId="0" fontId="69" fillId="0" borderId="0"/>
    <xf numFmtId="0" fontId="115" fillId="9" borderId="0" applyNumberFormat="0" applyBorder="0" applyAlignment="0" applyProtection="0">
      <alignment vertical="center"/>
    </xf>
    <xf numFmtId="0" fontId="79" fillId="0" borderId="0"/>
    <xf numFmtId="0" fontId="116" fillId="10" borderId="0" applyNumberFormat="0" applyBorder="0" applyAlignment="0" applyProtection="0">
      <alignment vertical="center"/>
    </xf>
    <xf numFmtId="0" fontId="117" fillId="0" borderId="13" applyNumberFormat="0" applyFill="0" applyAlignment="0" applyProtection="0">
      <alignment vertical="center"/>
    </xf>
    <xf numFmtId="0" fontId="118" fillId="0" borderId="14" applyNumberFormat="0" applyFill="0" applyAlignment="0" applyProtection="0">
      <alignment vertical="center"/>
    </xf>
    <xf numFmtId="0" fontId="119" fillId="0" borderId="15" applyNumberFormat="0" applyFill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39" borderId="9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21" applyNumberFormat="0" applyFill="0" applyAlignment="0" applyProtection="0">
      <alignment vertical="center"/>
    </xf>
  </cellStyleXfs>
  <cellXfs count="299">
    <xf numFmtId="0" fontId="0" fillId="0" borderId="0" xfId="0"/>
    <xf numFmtId="0" fontId="0" fillId="0" borderId="0" xfId="0" applyBorder="1"/>
    <xf numFmtId="0" fontId="6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 inden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5" xfId="0" applyFont="1" applyFill="1" applyBorder="1" applyAlignment="1">
      <alignment horizontal="justify" vertical="top" wrapText="1"/>
    </xf>
    <xf numFmtId="0" fontId="6" fillId="0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5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" fontId="6" fillId="2" borderId="5" xfId="0" applyNumberFormat="1" applyFont="1" applyFill="1" applyBorder="1" applyAlignment="1">
      <alignment horizontal="right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 indent="1"/>
    </xf>
    <xf numFmtId="0" fontId="6" fillId="2" borderId="5" xfId="0" applyFont="1" applyFill="1" applyBorder="1" applyAlignment="1">
      <alignment horizontal="left" vertical="top" wrapText="1" indent="3"/>
    </xf>
    <xf numFmtId="0" fontId="0" fillId="5" borderId="0" xfId="0" applyFill="1"/>
    <xf numFmtId="0" fontId="0" fillId="0" borderId="0" xfId="0" applyFill="1"/>
    <xf numFmtId="164" fontId="12" fillId="2" borderId="5" xfId="0" applyNumberFormat="1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justify" vertical="top" wrapText="1"/>
    </xf>
    <xf numFmtId="0" fontId="0" fillId="0" borderId="0" xfId="0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/>
    <xf numFmtId="0" fontId="6" fillId="2" borderId="4" xfId="0" applyFont="1" applyFill="1" applyBorder="1" applyAlignment="1">
      <alignment horizontal="left" vertical="top" wrapText="1" indent="1"/>
    </xf>
    <xf numFmtId="0" fontId="6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justify" vertical="top" wrapText="1"/>
    </xf>
    <xf numFmtId="164" fontId="6" fillId="2" borderId="5" xfId="0" applyNumberFormat="1" applyFont="1" applyFill="1" applyBorder="1" applyAlignment="1">
      <alignment horizontal="right" vertical="top" wrapText="1"/>
    </xf>
    <xf numFmtId="4" fontId="6" fillId="2" borderId="5" xfId="0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3" fontId="12" fillId="2" borderId="5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top" wrapText="1"/>
    </xf>
    <xf numFmtId="164" fontId="14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 indent="2"/>
    </xf>
    <xf numFmtId="164" fontId="11" fillId="2" borderId="5" xfId="0" applyNumberFormat="1" applyFont="1" applyFill="1" applyBorder="1" applyAlignment="1">
      <alignment horizontal="center" vertical="top" wrapText="1"/>
    </xf>
    <xf numFmtId="165" fontId="6" fillId="2" borderId="5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justify" vertical="top" wrapText="1"/>
    </xf>
    <xf numFmtId="0" fontId="6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left" vertical="top" wrapText="1" indent="2"/>
    </xf>
    <xf numFmtId="4" fontId="6" fillId="2" borderId="5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 wrapText="1" indent="2"/>
    </xf>
    <xf numFmtId="0" fontId="6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 inden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top" wrapText="1"/>
    </xf>
    <xf numFmtId="164" fontId="6" fillId="4" borderId="5" xfId="0" applyNumberFormat="1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top" wrapText="1"/>
    </xf>
    <xf numFmtId="4" fontId="6" fillId="4" borderId="5" xfId="0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164" fontId="6" fillId="4" borderId="5" xfId="0" applyNumberFormat="1" applyFont="1" applyFill="1" applyBorder="1" applyAlignment="1">
      <alignment horizontal="right" vertical="center" wrapText="1"/>
    </xf>
    <xf numFmtId="164" fontId="12" fillId="3" borderId="5" xfId="0" applyNumberFormat="1" applyFont="1" applyFill="1" applyBorder="1" applyAlignment="1">
      <alignment horizontal="right" vertical="center" wrapText="1"/>
    </xf>
    <xf numFmtId="164" fontId="12" fillId="4" borderId="5" xfId="0" applyNumberFormat="1" applyFont="1" applyFill="1" applyBorder="1" applyAlignment="1">
      <alignment horizontal="right" vertical="center" wrapText="1"/>
    </xf>
    <xf numFmtId="164" fontId="12" fillId="4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 indent="1"/>
    </xf>
    <xf numFmtId="164" fontId="12" fillId="3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top" wrapText="1"/>
    </xf>
    <xf numFmtId="4" fontId="6" fillId="4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top" wrapText="1"/>
    </xf>
    <xf numFmtId="164" fontId="6" fillId="4" borderId="5" xfId="0" applyNumberFormat="1" applyFont="1" applyFill="1" applyBorder="1" applyAlignment="1">
      <alignment horizontal="right" vertical="top" wrapText="1"/>
    </xf>
    <xf numFmtId="164" fontId="6" fillId="0" borderId="5" xfId="0" applyNumberFormat="1" applyFont="1" applyFill="1" applyBorder="1" applyAlignment="1">
      <alignment horizontal="right" vertical="top" wrapText="1"/>
    </xf>
    <xf numFmtId="4" fontId="6" fillId="0" borderId="5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3" fontId="12" fillId="3" borderId="5" xfId="0" applyNumberFormat="1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top" wrapText="1"/>
    </xf>
    <xf numFmtId="164" fontId="12" fillId="4" borderId="5" xfId="0" applyNumberFormat="1" applyFont="1" applyFill="1" applyBorder="1" applyAlignment="1">
      <alignment horizontal="center" vertical="top" wrapText="1"/>
    </xf>
    <xf numFmtId="164" fontId="14" fillId="3" borderId="5" xfId="0" applyNumberFormat="1" applyFont="1" applyFill="1" applyBorder="1" applyAlignment="1">
      <alignment horizontal="center" vertical="top" wrapText="1"/>
    </xf>
    <xf numFmtId="164" fontId="14" fillId="4" borderId="5" xfId="0" applyNumberFormat="1" applyFont="1" applyFill="1" applyBorder="1" applyAlignment="1">
      <alignment horizontal="center" vertical="top" wrapText="1"/>
    </xf>
    <xf numFmtId="164" fontId="14" fillId="3" borderId="5" xfId="0" applyNumberFormat="1" applyFont="1" applyFill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 indent="2"/>
    </xf>
    <xf numFmtId="164" fontId="14" fillId="0" borderId="5" xfId="0" applyNumberFormat="1" applyFont="1" applyFill="1" applyBorder="1" applyAlignment="1">
      <alignment horizontal="center" vertical="top" wrapText="1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justify" vertical="top" wrapText="1"/>
    </xf>
    <xf numFmtId="164" fontId="6" fillId="3" borderId="2" xfId="0" applyNumberFormat="1" applyFont="1" applyFill="1" applyBorder="1" applyAlignment="1">
      <alignment horizontal="center" vertical="top" wrapText="1"/>
    </xf>
    <xf numFmtId="164" fontId="6" fillId="4" borderId="2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justify" vertical="top" wrapText="1"/>
    </xf>
    <xf numFmtId="164" fontId="6" fillId="3" borderId="4" xfId="0" applyNumberFormat="1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right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top" wrapText="1" indent="2"/>
    </xf>
    <xf numFmtId="43" fontId="6" fillId="0" borderId="5" xfId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 indent="2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 indent="3"/>
    </xf>
    <xf numFmtId="0" fontId="7" fillId="0" borderId="5" xfId="0" applyFont="1" applyFill="1" applyBorder="1" applyAlignment="1">
      <alignment horizontal="left" vertical="top" wrapText="1" indent="1"/>
    </xf>
    <xf numFmtId="0" fontId="6" fillId="0" borderId="5" xfId="0" applyFont="1" applyFill="1" applyBorder="1" applyAlignment="1">
      <alignment vertical="top" wrapText="1"/>
    </xf>
    <xf numFmtId="164" fontId="6" fillId="4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 inden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5" xfId="1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167" fontId="6" fillId="0" borderId="5" xfId="1" applyNumberFormat="1" applyFont="1" applyFill="1" applyBorder="1" applyAlignment="1">
      <alignment horizontal="left" vertical="center" wrapText="1"/>
    </xf>
    <xf numFmtId="168" fontId="6" fillId="0" borderId="5" xfId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justify" vertical="top" wrapText="1"/>
    </xf>
    <xf numFmtId="0" fontId="6" fillId="3" borderId="5" xfId="0" applyFont="1" applyFill="1" applyBorder="1" applyAlignment="1">
      <alignment horizontal="left" vertical="top" wrapText="1" indent="1"/>
    </xf>
    <xf numFmtId="0" fontId="6" fillId="3" borderId="5" xfId="0" applyFont="1" applyFill="1" applyBorder="1" applyAlignment="1">
      <alignment horizontal="left" vertical="top" wrapText="1" indent="3"/>
    </xf>
    <xf numFmtId="0" fontId="6" fillId="3" borderId="4" xfId="0" applyFont="1" applyFill="1" applyBorder="1" applyAlignment="1">
      <alignment horizontal="left" vertical="top" wrapText="1" inden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left" vertical="center" wrapText="1"/>
    </xf>
    <xf numFmtId="164" fontId="7" fillId="3" borderId="5" xfId="0" applyNumberFormat="1" applyFont="1" applyFill="1" applyBorder="1" applyAlignment="1">
      <alignment horizontal="center" vertical="top" wrapText="1"/>
    </xf>
    <xf numFmtId="167" fontId="12" fillId="3" borderId="5" xfId="1" applyNumberFormat="1" applyFont="1" applyFill="1" applyBorder="1" applyAlignment="1">
      <alignment horizontal="right" vertical="center" wrapText="1"/>
    </xf>
    <xf numFmtId="167" fontId="12" fillId="2" borderId="5" xfId="1" applyNumberFormat="1" applyFont="1" applyFill="1" applyBorder="1" applyAlignment="1">
      <alignment horizontal="center" vertical="top" wrapText="1"/>
    </xf>
    <xf numFmtId="169" fontId="7" fillId="2" borderId="5" xfId="0" applyNumberFormat="1" applyFont="1" applyFill="1" applyBorder="1" applyAlignment="1">
      <alignment horizontal="center" vertical="top" wrapText="1"/>
    </xf>
    <xf numFmtId="169" fontId="6" fillId="2" borderId="5" xfId="0" applyNumberFormat="1" applyFont="1" applyFill="1" applyBorder="1" applyAlignment="1">
      <alignment horizontal="center" vertical="top" wrapText="1"/>
    </xf>
    <xf numFmtId="169" fontId="6" fillId="2" borderId="5" xfId="0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top" wrapText="1"/>
    </xf>
    <xf numFmtId="169" fontId="12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43" fontId="6" fillId="2" borderId="5" xfId="0" applyNumberFormat="1" applyFont="1" applyFill="1" applyBorder="1" applyAlignment="1">
      <alignment horizontal="center" vertical="top" wrapText="1"/>
    </xf>
    <xf numFmtId="43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167" fontId="6" fillId="2" borderId="5" xfId="1" applyNumberFormat="1" applyFont="1" applyFill="1" applyBorder="1" applyAlignment="1">
      <alignment horizontal="left" vertical="center" wrapText="1"/>
    </xf>
    <xf numFmtId="167" fontId="12" fillId="2" borderId="5" xfId="1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top" wrapText="1"/>
    </xf>
    <xf numFmtId="4" fontId="11" fillId="2" borderId="5" xfId="0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vertical="center" wrapText="1"/>
    </xf>
    <xf numFmtId="167" fontId="11" fillId="2" borderId="5" xfId="1" applyNumberFormat="1" applyFont="1" applyFill="1" applyBorder="1" applyAlignment="1">
      <alignment horizontal="center" vertical="top" wrapText="1"/>
    </xf>
    <xf numFmtId="168" fontId="6" fillId="2" borderId="5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5" fillId="0" borderId="0" xfId="0" applyFont="1"/>
    <xf numFmtId="3" fontId="7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justify" vertical="top" wrapText="1"/>
    </xf>
    <xf numFmtId="164" fontId="6" fillId="0" borderId="5" xfId="0" applyNumberFormat="1" applyFont="1" applyFill="1" applyBorder="1" applyAlignment="1">
      <alignment horizontal="left" vertical="top" wrapText="1" indent="1"/>
    </xf>
    <xf numFmtId="164" fontId="6" fillId="0" borderId="5" xfId="0" applyNumberFormat="1" applyFont="1" applyFill="1" applyBorder="1" applyAlignment="1">
      <alignment horizontal="justify" vertical="top" wrapText="1"/>
    </xf>
    <xf numFmtId="164" fontId="6" fillId="2" borderId="5" xfId="0" applyNumberFormat="1" applyFont="1" applyFill="1" applyBorder="1" applyAlignment="1">
      <alignment horizontal="justify" vertical="top" wrapText="1"/>
    </xf>
    <xf numFmtId="164" fontId="6" fillId="2" borderId="5" xfId="0" applyNumberFormat="1" applyFont="1" applyFill="1" applyBorder="1" applyAlignment="1">
      <alignment horizontal="justify" vertical="center" wrapText="1"/>
    </xf>
    <xf numFmtId="164" fontId="6" fillId="0" borderId="5" xfId="0" applyNumberFormat="1" applyFont="1" applyFill="1" applyBorder="1" applyAlignment="1">
      <alignment horizontal="justify" vertical="center" wrapText="1"/>
    </xf>
    <xf numFmtId="164" fontId="6" fillId="2" borderId="5" xfId="0" applyNumberFormat="1" applyFont="1" applyFill="1" applyBorder="1" applyAlignment="1">
      <alignment horizontal="left" vertical="top" wrapText="1" indent="1"/>
    </xf>
    <xf numFmtId="164" fontId="6" fillId="2" borderId="5" xfId="0" applyNumberFormat="1" applyFont="1" applyFill="1" applyBorder="1" applyAlignment="1">
      <alignment horizontal="left" vertical="top" wrapText="1" indent="3"/>
    </xf>
    <xf numFmtId="164" fontId="6" fillId="2" borderId="4" xfId="0" applyNumberFormat="1" applyFont="1" applyFill="1" applyBorder="1" applyAlignment="1">
      <alignment horizontal="left" vertical="top" wrapText="1" indent="1"/>
    </xf>
    <xf numFmtId="164" fontId="6" fillId="2" borderId="6" xfId="0" applyNumberFormat="1" applyFont="1" applyFill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horizontal="justify" vertical="top" wrapText="1"/>
    </xf>
    <xf numFmtId="164" fontId="6" fillId="2" borderId="5" xfId="0" applyNumberFormat="1" applyFont="1" applyFill="1" applyBorder="1" applyAlignment="1">
      <alignment horizontal="left" vertical="top" wrapText="1" indent="2"/>
    </xf>
    <xf numFmtId="164" fontId="6" fillId="2" borderId="2" xfId="0" applyNumberFormat="1" applyFont="1" applyFill="1" applyBorder="1" applyAlignment="1">
      <alignment horizontal="justify" vertical="top" wrapText="1"/>
    </xf>
    <xf numFmtId="164" fontId="6" fillId="2" borderId="2" xfId="0" applyNumberFormat="1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horizontal="justify" vertical="top" wrapText="1"/>
    </xf>
    <xf numFmtId="164" fontId="7" fillId="2" borderId="5" xfId="0" applyNumberFormat="1" applyFont="1" applyFill="1" applyBorder="1" applyAlignment="1">
      <alignment horizontal="left" vertical="top" wrapText="1" indent="2"/>
    </xf>
    <xf numFmtId="164" fontId="6" fillId="2" borderId="5" xfId="0" applyNumberFormat="1" applyFont="1" applyFill="1" applyBorder="1" applyAlignment="1">
      <alignment horizontal="left" vertical="top" wrapText="1"/>
    </xf>
    <xf numFmtId="164" fontId="7" fillId="2" borderId="5" xfId="0" applyNumberFormat="1" applyFont="1" applyFill="1" applyBorder="1" applyAlignment="1">
      <alignment horizontal="left" vertical="top" wrapText="1" indent="1"/>
    </xf>
    <xf numFmtId="164" fontId="6" fillId="2" borderId="5" xfId="0" applyNumberFormat="1" applyFont="1" applyFill="1" applyBorder="1" applyAlignment="1">
      <alignment horizontal="left" vertical="center" wrapText="1" indent="1"/>
    </xf>
    <xf numFmtId="164" fontId="7" fillId="2" borderId="5" xfId="0" applyNumberFormat="1" applyFont="1" applyFill="1" applyBorder="1" applyAlignment="1">
      <alignment horizontal="justify" vertical="center" wrapText="1"/>
    </xf>
    <xf numFmtId="164" fontId="6" fillId="2" borderId="2" xfId="0" applyNumberFormat="1" applyFont="1" applyFill="1" applyBorder="1" applyAlignment="1">
      <alignment horizontal="left" vertical="top" wrapText="1" inden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top" wrapText="1"/>
    </xf>
    <xf numFmtId="169" fontId="6" fillId="2" borderId="5" xfId="1" applyNumberFormat="1" applyFont="1" applyFill="1" applyBorder="1" applyAlignment="1">
      <alignment horizontal="center" vertical="top" wrapText="1"/>
    </xf>
    <xf numFmtId="0" fontId="3" fillId="47" borderId="5" xfId="0" applyFont="1" applyFill="1" applyBorder="1" applyAlignment="1">
      <alignment horizontal="left" vertical="center" wrapText="1"/>
    </xf>
    <xf numFmtId="0" fontId="18" fillId="47" borderId="5" xfId="0" applyFont="1" applyFill="1" applyBorder="1" applyAlignment="1">
      <alignment horizontal="left" vertical="center" wrapText="1"/>
    </xf>
    <xf numFmtId="167" fontId="0" fillId="0" borderId="0" xfId="1" applyNumberFormat="1" applyFont="1"/>
    <xf numFmtId="164" fontId="7" fillId="0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top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344">
    <cellStyle name="          _x000d__x000a_mouse.drv=lmouse.drv" xfId="2"/>
    <cellStyle name="???????" xfId="3"/>
    <cellStyle name="????????" xfId="4"/>
    <cellStyle name="???????? [0]" xfId="5"/>
    <cellStyle name="??????????" xfId="6"/>
    <cellStyle name="?????????? [0]" xfId="7"/>
    <cellStyle name="???????????" xfId="8"/>
    <cellStyle name="????????????? ???????????" xfId="9"/>
    <cellStyle name="??????????_1" xfId="10"/>
    <cellStyle name="????????_ ?? 25 ???" xfId="11"/>
    <cellStyle name="???????_ ????.???" xfId="12"/>
    <cellStyle name="??????_ ?? 25 ???" xfId="13"/>
    <cellStyle name="????DAMAS" xfId="14"/>
    <cellStyle name="????TICO" xfId="15"/>
    <cellStyle name="_060217 Order Plan(March incresed)" xfId="16"/>
    <cellStyle name="_2.45 таблица ижтимоий" xfId="17"/>
    <cellStyle name="_2.46 таблица ижтимоий" xfId="18"/>
    <cellStyle name="_2.58 таблица ВЭС" xfId="19"/>
    <cellStyle name="_2.58 узгаргани" xfId="20"/>
    <cellStyle name="_2008 КХ ЯНГИ ДАСТУР" xfId="21"/>
    <cellStyle name="_2008й прогноз ДАСТУР" xfId="22"/>
    <cellStyle name="_21а жадваллар" xfId="23"/>
    <cellStyle name="_21а жадваллар_Ожидаемые рабочие места" xfId="24"/>
    <cellStyle name="_21а жадваллар_Форма-ЯИЎ ва бандлик" xfId="25"/>
    <cellStyle name="_308 форма" xfId="26"/>
    <cellStyle name="_308 форма_Ожидаемые рабочие места" xfId="27"/>
    <cellStyle name="_308 форма_Форма-ЯИЎ ва бандлик" xfId="28"/>
    <cellStyle name="_BP-137 000  Shurik Toshkent  3.05.2006." xfId="29"/>
    <cellStyle name="_BP-137 000  Shurik Toshkent  3.05.2006._payment Oct 17" xfId="30"/>
    <cellStyle name="_Order KD new" xfId="31"/>
    <cellStyle name="_ДАСТУР макет" xfId="32"/>
    <cellStyle name="_ДАСТУР макет_Ожидаемые рабочие места" xfId="33"/>
    <cellStyle name="_ДАСТУР макет_Форма-ЯИЎ ва бандлик" xfId="34"/>
    <cellStyle name="_ДАСТУР обл план 2007-09" xfId="35"/>
    <cellStyle name="_ДАСТУР обл план 2007-09_Ожидаемые рабочие места" xfId="36"/>
    <cellStyle name="_ДАСТУР обл план 2007-09_Форма-ЯИЎ ва бандлик" xfId="37"/>
    <cellStyle name="_Жиззах" xfId="38"/>
    <cellStyle name="_Жиззах_Ожидаемые рабочие места" xfId="39"/>
    <cellStyle name="_Жиззах_Форма-ЯИЎ ва бандлик" xfId="40"/>
    <cellStyle name="_Кашкадарё" xfId="41"/>
    <cellStyle name="_Кашкадарё_Ожидаемые рабочие места" xfId="42"/>
    <cellStyle name="_Кашкадарё_Форма-ЯИЎ ва бандлик" xfId="43"/>
    <cellStyle name="_Книга2" xfId="44"/>
    <cellStyle name="_Книга3" xfId="45"/>
    <cellStyle name="_Копия Для МЭ СВОД" xfId="46"/>
    <cellStyle name="_Копия Иктисод формалари о" xfId="47"/>
    <cellStyle name="_МОЛИЯ даромад-харажат" xfId="48"/>
    <cellStyle name="_Наманган-1" xfId="49"/>
    <cellStyle name="_Наманган-1_Ожидаемые рабочие места" xfId="50"/>
    <cellStyle name="_Наманган-1_Форма-ЯИЎ ва бандлик" xfId="51"/>
    <cellStyle name="_Прогн-НРМ-2010-2013-макет" xfId="52"/>
    <cellStyle name="_Самар_анд" xfId="53"/>
    <cellStyle name="_Самар_анд_Ожидаемые рабочие места" xfId="54"/>
    <cellStyle name="_Самар_анд_Форма-ЯИЎ ва бандлик" xfId="55"/>
    <cellStyle name="_Сирдарё" xfId="56"/>
    <cellStyle name="_Сирдарё_Ожидаемые рабочие места" xfId="57"/>
    <cellStyle name="_Сирдарё_Форма-ЯИЎ ва бандлик" xfId="58"/>
    <cellStyle name="_СПИСОК тулик" xfId="59"/>
    <cellStyle name="_Сурхондарё " xfId="60"/>
    <cellStyle name="_Сурхондарё _Ожидаемые рабочие места" xfId="61"/>
    <cellStyle name="_Сурхондарё _Форма-ЯИЎ ва бандлик" xfId="62"/>
    <cellStyle name="_Фаолият" xfId="63"/>
    <cellStyle name="_Фаолият_қишлоқ таррақиёти 82 банд тўлиқ" xfId="64"/>
    <cellStyle name="_Фаолият_Ожидаемые рабочие места" xfId="65"/>
    <cellStyle name="_Фаолият_Форма-ЯИЎ ва бандлик" xfId="66"/>
    <cellStyle name="_Фаолият_ЯИЎ-сервис" xfId="67"/>
    <cellStyle name="_Хоразм" xfId="68"/>
    <cellStyle name="_Хоразм_Ожидаемые рабочие места" xfId="69"/>
    <cellStyle name="_Хоразм_Форма-ЯИЎ ва бандлик" xfId="70"/>
    <cellStyle name="_чора-тадбир свод" xfId="71"/>
    <cellStyle name="_чора-тадбир свод_қишлоқ таррақиёти 82 банд тўлиқ" xfId="72"/>
    <cellStyle name="_чора-тадбир свод_Ожидаемые рабочие места" xfId="73"/>
    <cellStyle name="_чора-тадбир свод_Форма-ЯИЎ ва бандлик" xfId="74"/>
    <cellStyle name="_чора-тадбир свод_ЯИЎ-сервис" xfId="75"/>
    <cellStyle name="”€ќђќ‘ћ‚›‰" xfId="76"/>
    <cellStyle name="”€ќђќ‘ћ‚›‰ 10" xfId="77"/>
    <cellStyle name="”€ќђќ‘ћ‚›‰ 11" xfId="78"/>
    <cellStyle name="”€ќђќ‘ћ‚›‰ 12" xfId="79"/>
    <cellStyle name="”€ќђќ‘ћ‚›‰ 13" xfId="80"/>
    <cellStyle name="”€ќђќ‘ћ‚›‰ 2" xfId="81"/>
    <cellStyle name="”€ќђќ‘ћ‚›‰ 3" xfId="82"/>
    <cellStyle name="”€ќђќ‘ћ‚›‰ 4" xfId="83"/>
    <cellStyle name="”€ќђќ‘ћ‚›‰ 5" xfId="84"/>
    <cellStyle name="”€ќђќ‘ћ‚›‰ 6" xfId="85"/>
    <cellStyle name="”€ќђќ‘ћ‚›‰ 7" xfId="86"/>
    <cellStyle name="”€ќђќ‘ћ‚›‰ 8" xfId="87"/>
    <cellStyle name="”€ќђќ‘ћ‚›‰ 9" xfId="88"/>
    <cellStyle name="”€ќђќ‘ћ‚›‰_02.11.2007" xfId="89"/>
    <cellStyle name="”€љ‘€ђћ‚ђќќ›‰" xfId="90"/>
    <cellStyle name="”€љ‘€ђћ‚ђќќ›‰ 10" xfId="91"/>
    <cellStyle name="”€љ‘€ђћ‚ђќќ›‰ 11" xfId="92"/>
    <cellStyle name="”€љ‘€ђћ‚ђќќ›‰ 12" xfId="93"/>
    <cellStyle name="”€љ‘€ђћ‚ђќќ›‰ 13" xfId="94"/>
    <cellStyle name="”€љ‘€ђћ‚ђќќ›‰ 2" xfId="95"/>
    <cellStyle name="”€љ‘€ђћ‚ђќќ›‰ 3" xfId="96"/>
    <cellStyle name="”€љ‘€ђћ‚ђќќ›‰ 4" xfId="97"/>
    <cellStyle name="”€љ‘€ђћ‚ђќќ›‰ 5" xfId="98"/>
    <cellStyle name="”€љ‘€ђћ‚ђќќ›‰ 6" xfId="99"/>
    <cellStyle name="”€љ‘€ђћ‚ђќќ›‰ 7" xfId="100"/>
    <cellStyle name="”€љ‘€ђћ‚ђќќ›‰ 8" xfId="101"/>
    <cellStyle name="”€љ‘€ђћ‚ђќќ›‰ 9" xfId="102"/>
    <cellStyle name="”€љ‘€ђћ‚ђќќ›‰_02.11.2007" xfId="103"/>
    <cellStyle name="”ќђќ‘ћ‚›‰" xfId="104"/>
    <cellStyle name="”љ‘ђћ‚ђќќ›‰" xfId="105"/>
    <cellStyle name="„…ќ…†ќ›‰" xfId="106"/>
    <cellStyle name="„…ќ…†ќ›‰ 10" xfId="107"/>
    <cellStyle name="„…ќ…†ќ›‰ 11" xfId="108"/>
    <cellStyle name="„…ќ…†ќ›‰ 12" xfId="109"/>
    <cellStyle name="„…ќ…†ќ›‰ 13" xfId="110"/>
    <cellStyle name="„…ќ…†ќ›‰ 2" xfId="111"/>
    <cellStyle name="„…ќ…†ќ›‰ 3" xfId="112"/>
    <cellStyle name="„…ќ…†ќ›‰ 4" xfId="113"/>
    <cellStyle name="„…ќ…†ќ›‰ 5" xfId="114"/>
    <cellStyle name="„…ќ…†ќ›‰ 6" xfId="115"/>
    <cellStyle name="„…ќ…†ќ›‰ 7" xfId="116"/>
    <cellStyle name="„…ќ…†ќ›‰ 8" xfId="117"/>
    <cellStyle name="„…ќ…†ќ›‰ 9" xfId="118"/>
    <cellStyle name="„…ќ…†ќ›‰_02.11.2007" xfId="119"/>
    <cellStyle name="€’ћѓћ‚›‰" xfId="120"/>
    <cellStyle name="€’ћѓћ‚›‰ 10" xfId="121"/>
    <cellStyle name="€’ћѓћ‚›‰ 11" xfId="122"/>
    <cellStyle name="€’ћѓћ‚›‰ 12" xfId="123"/>
    <cellStyle name="€’ћѓћ‚›‰ 13" xfId="124"/>
    <cellStyle name="€’ћѓћ‚›‰ 2" xfId="125"/>
    <cellStyle name="€’ћѓћ‚›‰ 3" xfId="126"/>
    <cellStyle name="€’ћѓћ‚›‰ 4" xfId="127"/>
    <cellStyle name="€’ћѓћ‚›‰ 5" xfId="128"/>
    <cellStyle name="€’ћѓћ‚›‰ 6" xfId="129"/>
    <cellStyle name="€’ћѓћ‚›‰ 7" xfId="130"/>
    <cellStyle name="€’ћѓћ‚›‰ 8" xfId="131"/>
    <cellStyle name="€’ћѓћ‚›‰ 9" xfId="132"/>
    <cellStyle name="€’ћѓћ‚›‰_02.11.2007" xfId="133"/>
    <cellStyle name="‡ђѓћ‹ћ‚ћљ1" xfId="134"/>
    <cellStyle name="‡ђѓћ‹ћ‚ћљ1 10" xfId="135"/>
    <cellStyle name="‡ђѓћ‹ћ‚ћљ1 11" xfId="136"/>
    <cellStyle name="‡ђѓћ‹ћ‚ћљ1 12" xfId="137"/>
    <cellStyle name="‡ђѓћ‹ћ‚ћљ1 13" xfId="138"/>
    <cellStyle name="‡ђѓћ‹ћ‚ћљ1 2" xfId="139"/>
    <cellStyle name="‡ђѓћ‹ћ‚ћљ1 3" xfId="140"/>
    <cellStyle name="‡ђѓћ‹ћ‚ћљ1 4" xfId="141"/>
    <cellStyle name="‡ђѓћ‹ћ‚ћљ1 5" xfId="142"/>
    <cellStyle name="‡ђѓћ‹ћ‚ћљ1 6" xfId="143"/>
    <cellStyle name="‡ђѓћ‹ћ‚ћљ1 7" xfId="144"/>
    <cellStyle name="‡ђѓћ‹ћ‚ћљ1 8" xfId="145"/>
    <cellStyle name="‡ђѓћ‹ћ‚ћљ1 9" xfId="146"/>
    <cellStyle name="‡ђѓћ‹ћ‚ћљ1_02.11.2007" xfId="147"/>
    <cellStyle name="‡ђѓћ‹ћ‚ћљ2" xfId="148"/>
    <cellStyle name="‡ђѓћ‹ћ‚ћљ2 10" xfId="149"/>
    <cellStyle name="‡ђѓћ‹ћ‚ћљ2 11" xfId="150"/>
    <cellStyle name="‡ђѓћ‹ћ‚ћљ2 12" xfId="151"/>
    <cellStyle name="‡ђѓћ‹ћ‚ћљ2 13" xfId="152"/>
    <cellStyle name="‡ђѓћ‹ћ‚ћљ2 2" xfId="153"/>
    <cellStyle name="‡ђѓћ‹ћ‚ћљ2 3" xfId="154"/>
    <cellStyle name="‡ђѓћ‹ћ‚ћљ2 4" xfId="155"/>
    <cellStyle name="‡ђѓћ‹ћ‚ћљ2 5" xfId="156"/>
    <cellStyle name="‡ђѓћ‹ћ‚ћљ2 6" xfId="157"/>
    <cellStyle name="‡ђѓћ‹ћ‚ћљ2 7" xfId="158"/>
    <cellStyle name="‡ђѓћ‹ћ‚ћљ2 8" xfId="159"/>
    <cellStyle name="‡ђѓћ‹ћ‚ћљ2 9" xfId="160"/>
    <cellStyle name="‡ђѓћ‹ћ‚ћљ2_02.11.2007" xfId="161"/>
    <cellStyle name="’ћѓћ‚›‰" xfId="162"/>
    <cellStyle name="" xfId="163"/>
    <cellStyle name="" xfId="164"/>
    <cellStyle name="_1П" xfId="165"/>
    <cellStyle name="_1П" xfId="166"/>
    <cellStyle name="_МВЭС Хусанбой" xfId="167"/>
    <cellStyle name="_МВЭС Хусанбой" xfId="168"/>
    <cellStyle name="_МВЭС2" xfId="169"/>
    <cellStyle name="_МВЭС2" xfId="170"/>
    <cellStyle name="_Ожидаемые рабочие места" xfId="171"/>
    <cellStyle name="_Ожидаемые рабочие места" xfId="172"/>
    <cellStyle name="_СВОД Жадваллар 2008-2012й" xfId="173"/>
    <cellStyle name="_СВОД Жадваллар 2008-2012й" xfId="174"/>
    <cellStyle name="_СВОД Жадваллар 2008-2012й_СВОД Прогноз 2008-2012й" xfId="175"/>
    <cellStyle name="_СВОД Жадваллар 2008-2012й_СВОД Прогноз 2008-2012й" xfId="176"/>
    <cellStyle name="_СВОД Прогноз 2008-2012й" xfId="177"/>
    <cellStyle name="_СВОД Прогноз 2008-2012й" xfId="178"/>
    <cellStyle name="_с-с" xfId="179"/>
    <cellStyle name="_с-с" xfId="180"/>
    <cellStyle name="_Табл.1кв.2011г.ожид" xfId="181"/>
    <cellStyle name="_Табл.1кв.2011г.ожид" xfId="182"/>
    <cellStyle name="_Форма-ЯИЎ ва бандлик" xfId="183"/>
    <cellStyle name="_Форма-ЯИЎ ва бандлик" xfId="184"/>
    <cellStyle name="" xfId="185"/>
    <cellStyle name="" xfId="186"/>
    <cellStyle name="_1П" xfId="187"/>
    <cellStyle name="_1П" xfId="188"/>
    <cellStyle name="_МВЭС Хусанбой" xfId="189"/>
    <cellStyle name="_МВЭС Хусанбой" xfId="190"/>
    <cellStyle name="_МВЭС2" xfId="191"/>
    <cellStyle name="_МВЭС2" xfId="192"/>
    <cellStyle name="_Ожидаемые рабочие места" xfId="193"/>
    <cellStyle name="_Ожидаемые рабочие места" xfId="194"/>
    <cellStyle name="_СВОД Жадваллар 2008-2012й" xfId="195"/>
    <cellStyle name="_СВОД Жадваллар 2008-2012й" xfId="196"/>
    <cellStyle name="_СВОД Жадваллар 2008-2012й_СВОД Прогноз 2008-2012й" xfId="197"/>
    <cellStyle name="_СВОД Жадваллар 2008-2012й_СВОД Прогноз 2008-2012й" xfId="198"/>
    <cellStyle name="_СВОД Прогноз 2008-2012й" xfId="199"/>
    <cellStyle name="_СВОД Прогноз 2008-2012й" xfId="200"/>
    <cellStyle name="_с-с" xfId="201"/>
    <cellStyle name="_с-с" xfId="202"/>
    <cellStyle name="_Табл.1кв.2011г.ожид" xfId="203"/>
    <cellStyle name="_Табл.1кв.2011г.ожид" xfId="204"/>
    <cellStyle name="_Форма-ЯИЎ ва бандлик" xfId="205"/>
    <cellStyle name="_Форма-ЯИЎ ва бандлик" xfId="206"/>
    <cellStyle name="" xfId="207"/>
    <cellStyle name="1" xfId="208"/>
    <cellStyle name="2" xfId="209"/>
    <cellStyle name="æØè [0.00]_PRODUCT DETAIL Q1" xfId="210"/>
    <cellStyle name="æØè_PRODUCT DETAIL Q1" xfId="211"/>
    <cellStyle name="EY [0.00]_PRODUCT DETAIL Q1" xfId="212"/>
    <cellStyle name="ÊÝ [0.00]_PRODUCT DETAIL Q1" xfId="213"/>
    <cellStyle name="EY [0.00]_PRODUCT DETAIL Q3 (2)" xfId="214"/>
    <cellStyle name="ÊÝ [0.00]_PRODUCT DETAIL Q3 (2)" xfId="215"/>
    <cellStyle name="EY_PRODUCT DETAIL Q1" xfId="216"/>
    <cellStyle name="ÊÝ_PRODUCT DETAIL Q1" xfId="217"/>
    <cellStyle name="EY_PRODUCT DETAIL Q3 (2)" xfId="218"/>
    <cellStyle name="ÊÝ_PRODUCT DETAIL Q3 (2)" xfId="219"/>
    <cellStyle name="W_BOOKSHIP" xfId="220"/>
    <cellStyle name="0,0_x000d__x000a_NA_x000d__x000a_" xfId="221"/>
    <cellStyle name="1Normal" xfId="222"/>
    <cellStyle name="1Normal 2" xfId="223"/>
    <cellStyle name="1Normal 3" xfId="224"/>
    <cellStyle name="1Normal 4" xfId="225"/>
    <cellStyle name="1Normal 5" xfId="226"/>
    <cellStyle name="1Normal 6" xfId="227"/>
    <cellStyle name="1Normal 7" xfId="228"/>
    <cellStyle name="1Normal 8" xfId="229"/>
    <cellStyle name="1Normal 9" xfId="230"/>
    <cellStyle name="1Normal_02.11.2007" xfId="231"/>
    <cellStyle name="20% - Accent1" xfId="232"/>
    <cellStyle name="20% - Accent1 2" xfId="233"/>
    <cellStyle name="20% - Accent2" xfId="234"/>
    <cellStyle name="20% - Accent2 2" xfId="235"/>
    <cellStyle name="20% - Accent3" xfId="236"/>
    <cellStyle name="20% - Accent3 2" xfId="237"/>
    <cellStyle name="20% - Accent4" xfId="238"/>
    <cellStyle name="20% - Accent4 2" xfId="239"/>
    <cellStyle name="20% - Accent5" xfId="240"/>
    <cellStyle name="20% - Accent5 2" xfId="241"/>
    <cellStyle name="20% - Accent6" xfId="242"/>
    <cellStyle name="20% - Accent6 2" xfId="243"/>
    <cellStyle name="20% - Акцент1 10" xfId="244"/>
    <cellStyle name="20% - Акцент1 11" xfId="245"/>
    <cellStyle name="20% - Акцент1 12" xfId="246"/>
    <cellStyle name="20% - Акцент1 2" xfId="247"/>
    <cellStyle name="20% - Акцент1 2 2" xfId="248"/>
    <cellStyle name="20% - Акцент1 3" xfId="249"/>
    <cellStyle name="20% - Акцент1 3 2" xfId="250"/>
    <cellStyle name="20% - Акцент1 4" xfId="251"/>
    <cellStyle name="20% - Акцент1 5" xfId="252"/>
    <cellStyle name="20% - Акцент1 6" xfId="253"/>
    <cellStyle name="20% - Акцент1 7" xfId="254"/>
    <cellStyle name="20% - Акцент1 8" xfId="255"/>
    <cellStyle name="20% - Акцент1 9" xfId="256"/>
    <cellStyle name="20% - Акцент2 10" xfId="257"/>
    <cellStyle name="20% - Акцент2 11" xfId="258"/>
    <cellStyle name="20% - Акцент2 12" xfId="259"/>
    <cellStyle name="20% - Акцент2 2" xfId="260"/>
    <cellStyle name="20% - Акцент2 2 2" xfId="261"/>
    <cellStyle name="20% - Акцент2 3" xfId="262"/>
    <cellStyle name="20% - Акцент2 3 2" xfId="263"/>
    <cellStyle name="20% - Акцент2 4" xfId="264"/>
    <cellStyle name="20% - Акцент2 5" xfId="265"/>
    <cellStyle name="20% - Акцент2 6" xfId="266"/>
    <cellStyle name="20% - Акцент2 7" xfId="267"/>
    <cellStyle name="20% - Акцент2 8" xfId="268"/>
    <cellStyle name="20% - Акцент2 9" xfId="269"/>
    <cellStyle name="20% - Акцент3 10" xfId="270"/>
    <cellStyle name="20% - Акцент3 11" xfId="271"/>
    <cellStyle name="20% - Акцент3 12" xfId="272"/>
    <cellStyle name="20% - Акцент3 2" xfId="273"/>
    <cellStyle name="20% - Акцент3 2 2" xfId="274"/>
    <cellStyle name="20% - Акцент3 3" xfId="275"/>
    <cellStyle name="20% - Акцент3 3 2" xfId="276"/>
    <cellStyle name="20% - Акцент3 4" xfId="277"/>
    <cellStyle name="20% - Акцент3 5" xfId="278"/>
    <cellStyle name="20% - Акцент3 6" xfId="279"/>
    <cellStyle name="20% - Акцент3 7" xfId="280"/>
    <cellStyle name="20% - Акцент3 8" xfId="281"/>
    <cellStyle name="20% - Акцент3 9" xfId="282"/>
    <cellStyle name="20% - Акцент4 10" xfId="283"/>
    <cellStyle name="20% - Акцент4 11" xfId="284"/>
    <cellStyle name="20% - Акцент4 12" xfId="285"/>
    <cellStyle name="20% - Акцент4 2" xfId="286"/>
    <cellStyle name="20% - Акцент4 2 2" xfId="287"/>
    <cellStyle name="20% - Акцент4 3" xfId="288"/>
    <cellStyle name="20% - Акцент4 3 2" xfId="289"/>
    <cellStyle name="20% - Акцент4 4" xfId="290"/>
    <cellStyle name="20% - Акцент4 5" xfId="291"/>
    <cellStyle name="20% - Акцент4 6" xfId="292"/>
    <cellStyle name="20% - Акцент4 7" xfId="293"/>
    <cellStyle name="20% - Акцент4 8" xfId="294"/>
    <cellStyle name="20% - Акцент4 9" xfId="295"/>
    <cellStyle name="20% - Акцент5 10" xfId="296"/>
    <cellStyle name="20% - Акцент5 11" xfId="297"/>
    <cellStyle name="20% - Акцент5 12" xfId="298"/>
    <cellStyle name="20% - Акцент5 2" xfId="299"/>
    <cellStyle name="20% - Акцент5 2 2" xfId="300"/>
    <cellStyle name="20% - Акцент5 3" xfId="301"/>
    <cellStyle name="20% - Акцент5 3 2" xfId="302"/>
    <cellStyle name="20% - Акцент5 4" xfId="303"/>
    <cellStyle name="20% - Акцент5 5" xfId="304"/>
    <cellStyle name="20% - Акцент5 6" xfId="305"/>
    <cellStyle name="20% - Акцент5 7" xfId="306"/>
    <cellStyle name="20% - Акцент5 8" xfId="307"/>
    <cellStyle name="20% - Акцент5 9" xfId="308"/>
    <cellStyle name="20% - Акцент6 10" xfId="309"/>
    <cellStyle name="20% - Акцент6 11" xfId="310"/>
    <cellStyle name="20% - Акцент6 12" xfId="311"/>
    <cellStyle name="20% - Акцент6 2" xfId="312"/>
    <cellStyle name="20% - Акцент6 2 2" xfId="313"/>
    <cellStyle name="20% - Акцент6 3" xfId="314"/>
    <cellStyle name="20% - Акцент6 3 2" xfId="315"/>
    <cellStyle name="20% - Акцент6 4" xfId="316"/>
    <cellStyle name="20% - Акцент6 5" xfId="317"/>
    <cellStyle name="20% - Акцент6 6" xfId="318"/>
    <cellStyle name="20% - Акцент6 7" xfId="319"/>
    <cellStyle name="20% - Акцент6 8" xfId="320"/>
    <cellStyle name="20% - Акцент6 9" xfId="321"/>
    <cellStyle name="20% - アクセント 1" xfId="322"/>
    <cellStyle name="20% - アクセント 2" xfId="323"/>
    <cellStyle name="20% - アクセント 3" xfId="324"/>
    <cellStyle name="20% - アクセント 4" xfId="325"/>
    <cellStyle name="20% - アクセント 5" xfId="326"/>
    <cellStyle name="20% - アクセント 6" xfId="327"/>
    <cellStyle name="40% - Accent1" xfId="328"/>
    <cellStyle name="40% - Accent1 2" xfId="329"/>
    <cellStyle name="40% - Accent2" xfId="330"/>
    <cellStyle name="40% - Accent2 2" xfId="331"/>
    <cellStyle name="40% - Accent3" xfId="332"/>
    <cellStyle name="40% - Accent3 2" xfId="333"/>
    <cellStyle name="40% - Accent4" xfId="334"/>
    <cellStyle name="40% - Accent4 2" xfId="335"/>
    <cellStyle name="40% - Accent5" xfId="336"/>
    <cellStyle name="40% - Accent5 2" xfId="337"/>
    <cellStyle name="40% - Accent6" xfId="338"/>
    <cellStyle name="40% - Accent6 2" xfId="339"/>
    <cellStyle name="40% - Акцент1 10" xfId="340"/>
    <cellStyle name="40% - Акцент1 11" xfId="341"/>
    <cellStyle name="40% - Акцент1 12" xfId="342"/>
    <cellStyle name="40% - Акцент1 2" xfId="343"/>
    <cellStyle name="40% - Акцент1 2 2" xfId="344"/>
    <cellStyle name="40% - Акцент1 3" xfId="345"/>
    <cellStyle name="40% - Акцент1 3 2" xfId="346"/>
    <cellStyle name="40% - Акцент1 4" xfId="347"/>
    <cellStyle name="40% - Акцент1 5" xfId="348"/>
    <cellStyle name="40% - Акцент1 6" xfId="349"/>
    <cellStyle name="40% - Акцент1 7" xfId="350"/>
    <cellStyle name="40% - Акцент1 8" xfId="351"/>
    <cellStyle name="40% - Акцент1 9" xfId="352"/>
    <cellStyle name="40% - Акцент2 10" xfId="353"/>
    <cellStyle name="40% - Акцент2 11" xfId="354"/>
    <cellStyle name="40% - Акцент2 12" xfId="355"/>
    <cellStyle name="40% - Акцент2 2" xfId="356"/>
    <cellStyle name="40% - Акцент2 2 2" xfId="357"/>
    <cellStyle name="40% - Акцент2 3" xfId="358"/>
    <cellStyle name="40% - Акцент2 3 2" xfId="359"/>
    <cellStyle name="40% - Акцент2 4" xfId="360"/>
    <cellStyle name="40% - Акцент2 5" xfId="361"/>
    <cellStyle name="40% - Акцент2 6" xfId="362"/>
    <cellStyle name="40% - Акцент2 7" xfId="363"/>
    <cellStyle name="40% - Акцент2 8" xfId="364"/>
    <cellStyle name="40% - Акцент2 9" xfId="365"/>
    <cellStyle name="40% - Акцент3 10" xfId="366"/>
    <cellStyle name="40% - Акцент3 11" xfId="367"/>
    <cellStyle name="40% - Акцент3 12" xfId="368"/>
    <cellStyle name="40% - Акцент3 2" xfId="369"/>
    <cellStyle name="40% - Акцент3 2 2" xfId="370"/>
    <cellStyle name="40% - Акцент3 3" xfId="371"/>
    <cellStyle name="40% - Акцент3 3 2" xfId="372"/>
    <cellStyle name="40% - Акцент3 4" xfId="373"/>
    <cellStyle name="40% - Акцент3 5" xfId="374"/>
    <cellStyle name="40% - Акцент3 6" xfId="375"/>
    <cellStyle name="40% - Акцент3 7" xfId="376"/>
    <cellStyle name="40% - Акцент3 8" xfId="377"/>
    <cellStyle name="40% - Акцент3 9" xfId="378"/>
    <cellStyle name="40% - Акцент4 10" xfId="379"/>
    <cellStyle name="40% - Акцент4 11" xfId="380"/>
    <cellStyle name="40% - Акцент4 12" xfId="381"/>
    <cellStyle name="40% - Акцент4 2" xfId="382"/>
    <cellStyle name="40% - Акцент4 2 2" xfId="383"/>
    <cellStyle name="40% - Акцент4 3" xfId="384"/>
    <cellStyle name="40% - Акцент4 3 2" xfId="385"/>
    <cellStyle name="40% - Акцент4 4" xfId="386"/>
    <cellStyle name="40% - Акцент4 5" xfId="387"/>
    <cellStyle name="40% - Акцент4 6" xfId="388"/>
    <cellStyle name="40% - Акцент4 7" xfId="389"/>
    <cellStyle name="40% - Акцент4 8" xfId="390"/>
    <cellStyle name="40% - Акцент4 9" xfId="391"/>
    <cellStyle name="40% - Акцент5 10" xfId="392"/>
    <cellStyle name="40% - Акцент5 11" xfId="393"/>
    <cellStyle name="40% - Акцент5 12" xfId="394"/>
    <cellStyle name="40% - Акцент5 2" xfId="395"/>
    <cellStyle name="40% - Акцент5 2 2" xfId="396"/>
    <cellStyle name="40% - Акцент5 3" xfId="397"/>
    <cellStyle name="40% - Акцент5 3 2" xfId="398"/>
    <cellStyle name="40% - Акцент5 4" xfId="399"/>
    <cellStyle name="40% - Акцент5 5" xfId="400"/>
    <cellStyle name="40% - Акцент5 6" xfId="401"/>
    <cellStyle name="40% - Акцент5 7" xfId="402"/>
    <cellStyle name="40% - Акцент5 8" xfId="403"/>
    <cellStyle name="40% - Акцент5 9" xfId="404"/>
    <cellStyle name="40% - Акцент6 10" xfId="405"/>
    <cellStyle name="40% - Акцент6 11" xfId="406"/>
    <cellStyle name="40% - Акцент6 12" xfId="407"/>
    <cellStyle name="40% - Акцент6 2" xfId="408"/>
    <cellStyle name="40% - Акцент6 2 2" xfId="409"/>
    <cellStyle name="40% - Акцент6 3" xfId="410"/>
    <cellStyle name="40% - Акцент6 3 2" xfId="411"/>
    <cellStyle name="40% - Акцент6 4" xfId="412"/>
    <cellStyle name="40% - Акцент6 5" xfId="413"/>
    <cellStyle name="40% - Акцент6 6" xfId="414"/>
    <cellStyle name="40% - Акцент6 7" xfId="415"/>
    <cellStyle name="40% - Акцент6 8" xfId="416"/>
    <cellStyle name="40% - Акцент6 9" xfId="417"/>
    <cellStyle name="40% - アクセント 1" xfId="418"/>
    <cellStyle name="40% - アクセント 2" xfId="419"/>
    <cellStyle name="40% - アクセント 3" xfId="420"/>
    <cellStyle name="40% - アクセント 4" xfId="421"/>
    <cellStyle name="40% - アクセント 5" xfId="422"/>
    <cellStyle name="40% - アクセント 6" xfId="423"/>
    <cellStyle name="60% - Accent1" xfId="424"/>
    <cellStyle name="60% - Accent2" xfId="425"/>
    <cellStyle name="60% - Accent3" xfId="426"/>
    <cellStyle name="60% - Accent4" xfId="427"/>
    <cellStyle name="60% - Accent5" xfId="428"/>
    <cellStyle name="60% - Accent6" xfId="429"/>
    <cellStyle name="60% - Акцент1 10" xfId="430"/>
    <cellStyle name="60% - Акцент1 11" xfId="431"/>
    <cellStyle name="60% - Акцент1 12" xfId="432"/>
    <cellStyle name="60% - Акцент1 2" xfId="433"/>
    <cellStyle name="60% - Акцент1 3" xfId="434"/>
    <cellStyle name="60% - Акцент1 4" xfId="435"/>
    <cellStyle name="60% - Акцент1 5" xfId="436"/>
    <cellStyle name="60% - Акцент1 6" xfId="437"/>
    <cellStyle name="60% - Акцент1 7" xfId="438"/>
    <cellStyle name="60% - Акцент1 8" xfId="439"/>
    <cellStyle name="60% - Акцент1 9" xfId="440"/>
    <cellStyle name="60% - Акцент2 10" xfId="441"/>
    <cellStyle name="60% - Акцент2 11" xfId="442"/>
    <cellStyle name="60% - Акцент2 12" xfId="443"/>
    <cellStyle name="60% - Акцент2 2" xfId="444"/>
    <cellStyle name="60% - Акцент2 3" xfId="445"/>
    <cellStyle name="60% - Акцент2 4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2" xfId="455"/>
    <cellStyle name="60% - Акцент3 3" xfId="456"/>
    <cellStyle name="60% - Акцент3 4" xfId="457"/>
    <cellStyle name="60% - Акцент3 5" xfId="458"/>
    <cellStyle name="60% - Акцент3 6" xfId="459"/>
    <cellStyle name="60% - Акцент3 7" xfId="460"/>
    <cellStyle name="60% - Акцент3 8" xfId="461"/>
    <cellStyle name="60% - Акцент3 9" xfId="462"/>
    <cellStyle name="60% - Акцент4 10" xfId="463"/>
    <cellStyle name="60% - Акцент4 11" xfId="464"/>
    <cellStyle name="60% - Акцент4 12" xfId="465"/>
    <cellStyle name="60% - Акцент4 2" xfId="466"/>
    <cellStyle name="60% - Акцент4 3" xfId="467"/>
    <cellStyle name="60% - Акцент4 4" xfId="468"/>
    <cellStyle name="60% - Акцент4 5" xfId="469"/>
    <cellStyle name="60% - Акцент4 6" xfId="470"/>
    <cellStyle name="60% - Акцент4 7" xfId="471"/>
    <cellStyle name="60% - Акцент4 8" xfId="472"/>
    <cellStyle name="60% - Акцент4 9" xfId="473"/>
    <cellStyle name="60% - Акцент5 10" xfId="474"/>
    <cellStyle name="60% - Акцент5 11" xfId="475"/>
    <cellStyle name="60% - Акцент5 12" xfId="476"/>
    <cellStyle name="60% - Акцент5 2" xfId="477"/>
    <cellStyle name="60% - Акцент5 3" xfId="478"/>
    <cellStyle name="60% - Акцент5 4" xfId="479"/>
    <cellStyle name="60% - Акцент5 5" xfId="480"/>
    <cellStyle name="60% - Акцент5 6" xfId="481"/>
    <cellStyle name="60% - Акцент5 7" xfId="482"/>
    <cellStyle name="60% - Акцент5 8" xfId="483"/>
    <cellStyle name="60% - Акцент5 9" xfId="484"/>
    <cellStyle name="60% - Акцент6 10" xfId="485"/>
    <cellStyle name="60% - Акцент6 11" xfId="486"/>
    <cellStyle name="60% - Акцент6 12" xfId="487"/>
    <cellStyle name="60% - Акцент6 2" xfId="488"/>
    <cellStyle name="60% - Акцент6 3" xfId="489"/>
    <cellStyle name="60% - Акцент6 4" xfId="490"/>
    <cellStyle name="60% - Акцент6 5" xfId="491"/>
    <cellStyle name="60% - Акцент6 6" xfId="492"/>
    <cellStyle name="60% - Акцент6 7" xfId="493"/>
    <cellStyle name="60% - Акцент6 8" xfId="494"/>
    <cellStyle name="60% - Акцент6 9" xfId="495"/>
    <cellStyle name="60% - アクセント 1" xfId="496"/>
    <cellStyle name="60% - アクセント 2" xfId="497"/>
    <cellStyle name="60% - アクセント 3" xfId="498"/>
    <cellStyle name="60% - アクセント 4" xfId="499"/>
    <cellStyle name="60% - アクセント 5" xfId="500"/>
    <cellStyle name="60% - アクセント 6" xfId="501"/>
    <cellStyle name="A??¶ [0]" xfId="502"/>
    <cellStyle name="A??¶_???«??Aa" xfId="503"/>
    <cellStyle name="Aaia?iue" xfId="504"/>
    <cellStyle name="Aaia?iue [0]" xfId="505"/>
    <cellStyle name="Aaia?iue_,, 255 якуни" xfId="506"/>
    <cellStyle name="Äåíåæíûé_Êíèãà3" xfId="507"/>
    <cellStyle name="Accent1" xfId="508"/>
    <cellStyle name="Accent1 - 20%" xfId="509"/>
    <cellStyle name="Accent1 - 20% 2" xfId="510"/>
    <cellStyle name="Accent1 - 40%" xfId="511"/>
    <cellStyle name="Accent1 - 40% 2" xfId="512"/>
    <cellStyle name="Accent1 - 60%" xfId="513"/>
    <cellStyle name="Accent1_прил№7" xfId="514"/>
    <cellStyle name="Accent2" xfId="515"/>
    <cellStyle name="Accent2 - 20%" xfId="516"/>
    <cellStyle name="Accent2 - 20% 2" xfId="517"/>
    <cellStyle name="Accent2 - 40%" xfId="518"/>
    <cellStyle name="Accent2 - 40% 2" xfId="519"/>
    <cellStyle name="Accent2 - 60%" xfId="520"/>
    <cellStyle name="Accent2_прил№7" xfId="521"/>
    <cellStyle name="Accent3" xfId="522"/>
    <cellStyle name="Accent3 - 20%" xfId="523"/>
    <cellStyle name="Accent3 - 20% 2" xfId="524"/>
    <cellStyle name="Accent3 - 40%" xfId="525"/>
    <cellStyle name="Accent3 - 40% 2" xfId="526"/>
    <cellStyle name="Accent3 - 60%" xfId="527"/>
    <cellStyle name="Accent3_прил№7" xfId="528"/>
    <cellStyle name="Accent4" xfId="529"/>
    <cellStyle name="Accent4 - 20%" xfId="530"/>
    <cellStyle name="Accent4 - 20% 2" xfId="531"/>
    <cellStyle name="Accent4 - 40%" xfId="532"/>
    <cellStyle name="Accent4 - 40% 2" xfId="533"/>
    <cellStyle name="Accent4 - 60%" xfId="534"/>
    <cellStyle name="Accent4_прил№7" xfId="535"/>
    <cellStyle name="Accent5" xfId="536"/>
    <cellStyle name="Accent5 - 20%" xfId="537"/>
    <cellStyle name="Accent5 - 20% 2" xfId="538"/>
    <cellStyle name="Accent5 - 40%" xfId="539"/>
    <cellStyle name="Accent5 - 40% 2" xfId="540"/>
    <cellStyle name="Accent5 - 60%" xfId="541"/>
    <cellStyle name="Accent5_прил№7" xfId="542"/>
    <cellStyle name="Accent6" xfId="543"/>
    <cellStyle name="Accent6 - 20%" xfId="544"/>
    <cellStyle name="Accent6 - 20% 2" xfId="545"/>
    <cellStyle name="Accent6 - 40%" xfId="546"/>
    <cellStyle name="Accent6 - 40% 2" xfId="547"/>
    <cellStyle name="Accent6 - 60%" xfId="548"/>
    <cellStyle name="Accent6_прил№7" xfId="549"/>
    <cellStyle name="Acdldnnueer" xfId="550"/>
    <cellStyle name="AeE­ [0]" xfId="551"/>
    <cellStyle name="ÅëÈ­ [0]" xfId="552"/>
    <cellStyle name="AeE­ [0]_???«??Aa" xfId="553"/>
    <cellStyle name="ÅëÈ­ [0]_´ë¿ìÃâÇÏ¿äÃ» " xfId="554"/>
    <cellStyle name="AeE­ [0]_±aE??CLAN(AuA¦A¶°C)" xfId="555"/>
    <cellStyle name="ÅëÈ­ [0]_±âÈ¹½ÇLAN(ÀüÁ¦Á¶°Ç)" xfId="556"/>
    <cellStyle name="AeE­ [0]_±e?µ±?" xfId="557"/>
    <cellStyle name="ÅëÈ­ [0]_±è¿µ±æ" xfId="558"/>
    <cellStyle name="AeE­ [0]_»cA??c?A" xfId="559"/>
    <cellStyle name="ÅëÈ­ [0]_»çÀ¯¾ç½Ä" xfId="560"/>
    <cellStyle name="AeE­ [0]_°u?®A?AOLABEL" xfId="561"/>
    <cellStyle name="ÅëÈ­ [0]_°ü¸®Ã¥ÀÓLABEL" xfId="562"/>
    <cellStyle name="AeE­ [0]_97?aµµ CA·IA§?® CoE?" xfId="563"/>
    <cellStyle name="ÅëÈ­ [0]_97³âµµ ÇÁ·ÎÁ§Æ® ÇöÈ²" xfId="564"/>
    <cellStyle name="AeE­ [0]_A?·®?iCa" xfId="565"/>
    <cellStyle name="ÅëÈ­ [0]_Â÷·®¿îÇà" xfId="566"/>
    <cellStyle name="AeE­ [0]_AaCI?aA " xfId="567"/>
    <cellStyle name="ÅëÈ­ [0]_ÃâÇÏ¿äÃ»" xfId="568"/>
    <cellStyle name="AeE­ [0]_AO°????«??°i?c?A" xfId="569"/>
    <cellStyle name="ÅëÈ­ [0]_ÁÖ°£¾÷¹«º¸°í¾ç½Ä" xfId="570"/>
    <cellStyle name="AeE­ [0]_CLAIM1" xfId="571"/>
    <cellStyle name="ÅëÈ­ [0]_CLAIM1" xfId="572"/>
    <cellStyle name="AeE­ [0]_Co??±?A " xfId="573"/>
    <cellStyle name="ÅëÈ­ [0]_Çö¾÷±³À°" xfId="574"/>
    <cellStyle name="AeE­ [0]_CODE" xfId="575"/>
    <cellStyle name="ÅëÈ­ [0]_CODE" xfId="576"/>
    <cellStyle name="AeE­ [0]_CODE (2)" xfId="577"/>
    <cellStyle name="ÅëÈ­ [0]_CODE (2)" xfId="578"/>
    <cellStyle name="AeE­ [0]_Cu±a" xfId="579"/>
    <cellStyle name="ÅëÈ­ [0]_Çù±â" xfId="580"/>
    <cellStyle name="AeE­ [0]_CuA¶Au" xfId="581"/>
    <cellStyle name="ÅëÈ­ [0]_ÇùÁ¶Àü" xfId="582"/>
    <cellStyle name="AeE­ [0]_CuA¶Au_laroux" xfId="583"/>
    <cellStyle name="ÅëÈ­ [0]_ÇùÁ¶Àü_laroux" xfId="584"/>
    <cellStyle name="AeE­ [0]_FAX?c?A" xfId="585"/>
    <cellStyle name="ÅëÈ­ [0]_FAX¾ç½Ä" xfId="586"/>
    <cellStyle name="AeE­ [0]_FLOW" xfId="587"/>
    <cellStyle name="ÅëÈ­ [0]_FLOW" xfId="588"/>
    <cellStyle name="AeE­ [0]_GT-10E?¶??i?U" xfId="589"/>
    <cellStyle name="ÅëÈ­ [0]_GT-10È¸¶÷¸í´Ü" xfId="590"/>
    <cellStyle name="AeE­ [0]_HW &amp; SW?n±?" xfId="591"/>
    <cellStyle name="ÅëÈ­ [0]_HW &amp; SWºñ±³" xfId="592"/>
    <cellStyle name="AeE­ [0]_laroux" xfId="593"/>
    <cellStyle name="ÅëÈ­ [0]_laroux" xfId="594"/>
    <cellStyle name="AeE­ [0]_laroux_1" xfId="595"/>
    <cellStyle name="ÅëÈ­ [0]_laroux_1" xfId="596"/>
    <cellStyle name="AeE­ [0]_MTG1" xfId="597"/>
    <cellStyle name="ÅëÈ­ [0]_MTG1" xfId="598"/>
    <cellStyle name="AeE­ [0]_MTG2 (2)" xfId="599"/>
    <cellStyle name="ÅëÈ­ [0]_MTG2 (2)" xfId="600"/>
    <cellStyle name="AeE­ [0]_MTG7" xfId="601"/>
    <cellStyle name="ÅëÈ­ [0]_MTG7" xfId="602"/>
    <cellStyle name="AeE­ [0]_Sheet1" xfId="603"/>
    <cellStyle name="ÅëÈ­ [0]_Sheet1" xfId="604"/>
    <cellStyle name="AeE­ [0]_Sheet4" xfId="605"/>
    <cellStyle name="ÅëÈ­ [0]_Sheet4" xfId="606"/>
    <cellStyle name="AeE­_???«??Aa" xfId="607"/>
    <cellStyle name="ÅëÈ­_´ë¿ìÃâÇÏ¿äÃ» " xfId="608"/>
    <cellStyle name="AeE­_±aE??CLAN(AuA¦A¶°C)" xfId="609"/>
    <cellStyle name="ÅëÈ­_±âÈ¹½ÇLAN(ÀüÁ¦Á¶°Ç)" xfId="610"/>
    <cellStyle name="AeE­_±e?µ±?" xfId="611"/>
    <cellStyle name="ÅëÈ­_±è¿µ±æ" xfId="612"/>
    <cellStyle name="AeE­_»cA??c?A" xfId="613"/>
    <cellStyle name="ÅëÈ­_»çÀ¯¾ç½Ä" xfId="614"/>
    <cellStyle name="AeE­_°u?®A?AOLABEL" xfId="615"/>
    <cellStyle name="ÅëÈ­_°ü¸®Ã¥ÀÓLABEL" xfId="616"/>
    <cellStyle name="AeE­_97?aµµ CA·IA§?® CoE?" xfId="617"/>
    <cellStyle name="ÅëÈ­_97³âµµ ÇÁ·ÎÁ§Æ® ÇöÈ²" xfId="618"/>
    <cellStyle name="AeE­_A?·®?iCa" xfId="619"/>
    <cellStyle name="ÅëÈ­_Â÷·®¿îÇà" xfId="620"/>
    <cellStyle name="AeE­_AaCI?aA " xfId="621"/>
    <cellStyle name="ÅëÈ­_ÃâÇÏ¿äÃ»" xfId="622"/>
    <cellStyle name="AeE­_AO°????«??°i?c?A" xfId="623"/>
    <cellStyle name="ÅëÈ­_ÁÖ°£¾÷¹«º¸°í¾ç½Ä" xfId="624"/>
    <cellStyle name="AeE­_CLAIM1" xfId="625"/>
    <cellStyle name="ÅëÈ­_CLAIM1" xfId="626"/>
    <cellStyle name="AeE­_Co??±?A " xfId="627"/>
    <cellStyle name="ÅëÈ­_Çö¾÷±³À°" xfId="628"/>
    <cellStyle name="AeE­_CODE" xfId="629"/>
    <cellStyle name="ÅëÈ­_CODE" xfId="630"/>
    <cellStyle name="AeE­_CODE (2)" xfId="631"/>
    <cellStyle name="ÅëÈ­_CODE (2)" xfId="632"/>
    <cellStyle name="AeE­_Cu±a" xfId="633"/>
    <cellStyle name="ÅëÈ­_Çù±â" xfId="634"/>
    <cellStyle name="AeE­_CuA¶Au" xfId="635"/>
    <cellStyle name="ÅëÈ­_ÇùÁ¶Àü" xfId="636"/>
    <cellStyle name="AeE­_CuA¶Au_laroux" xfId="637"/>
    <cellStyle name="ÅëÈ­_ÇùÁ¶Àü_laroux" xfId="638"/>
    <cellStyle name="AeE­_FAX?c?A" xfId="639"/>
    <cellStyle name="ÅëÈ­_FAX¾ç½Ä" xfId="640"/>
    <cellStyle name="AeE­_FLOW" xfId="641"/>
    <cellStyle name="ÅëÈ­_FLOW" xfId="642"/>
    <cellStyle name="AeE­_GT-10E?¶??i?U" xfId="643"/>
    <cellStyle name="ÅëÈ­_GT-10È¸¶÷¸í´Ü" xfId="644"/>
    <cellStyle name="AeE­_HW &amp; SW?n±?" xfId="645"/>
    <cellStyle name="ÅëÈ­_HW &amp; SWºñ±³" xfId="646"/>
    <cellStyle name="AeE­_laroux" xfId="647"/>
    <cellStyle name="ÅëÈ­_laroux" xfId="648"/>
    <cellStyle name="AeE­_laroux_1" xfId="649"/>
    <cellStyle name="ÅëÈ­_laroux_1" xfId="650"/>
    <cellStyle name="AeE­_MTG1" xfId="651"/>
    <cellStyle name="ÅëÈ­_MTG1" xfId="652"/>
    <cellStyle name="AeE­_MTG2 (2)" xfId="653"/>
    <cellStyle name="ÅëÈ­_MTG2 (2)" xfId="654"/>
    <cellStyle name="AeE­_MTG7" xfId="655"/>
    <cellStyle name="ÅëÈ­_MTG7" xfId="656"/>
    <cellStyle name="AeE­_Sheet1" xfId="657"/>
    <cellStyle name="ÅëÈ­_Sheet1" xfId="658"/>
    <cellStyle name="AeE­_Sheet4" xfId="659"/>
    <cellStyle name="ÅëÈ­_Sheet4" xfId="660"/>
    <cellStyle name="Alilciue [0]_ 2003 aia" xfId="661"/>
    <cellStyle name="Alilciue_ 2003 aia" xfId="662"/>
    <cellStyle name="ÄÞ¸¶ [0]" xfId="663"/>
    <cellStyle name="ÄÞ¸¶_´ë¿ìÃâÇÏ¿äÃ» " xfId="664"/>
    <cellStyle name="Bad" xfId="665"/>
    <cellStyle name="BMU001" xfId="666"/>
    <cellStyle name="BMU002" xfId="667"/>
    <cellStyle name="BMU002B" xfId="668"/>
    <cellStyle name="BMU002P1" xfId="669"/>
    <cellStyle name="BMU003" xfId="670"/>
    <cellStyle name="BMU004" xfId="671"/>
    <cellStyle name="BMU005" xfId="672"/>
    <cellStyle name="BMU005B" xfId="673"/>
    <cellStyle name="BMU005K" xfId="674"/>
    <cellStyle name="C?AO_??±a°eE?" xfId="675"/>
    <cellStyle name="Ç¥ÁØ_´ë¿ìÃâÇÏ¿äÃ» " xfId="676"/>
    <cellStyle name="Calculation" xfId="677"/>
    <cellStyle name="Check Cell" xfId="678"/>
    <cellStyle name="Comma" xfId="679"/>
    <cellStyle name="Comma [0]_Sheet1 (2)" xfId="680"/>
    <cellStyle name="Comma_Balance" xfId="681"/>
    <cellStyle name="Comma0" xfId="682"/>
    <cellStyle name="Comma0 10" xfId="683"/>
    <cellStyle name="Comma0 2" xfId="684"/>
    <cellStyle name="Comma0 3" xfId="685"/>
    <cellStyle name="Comma0 4" xfId="686"/>
    <cellStyle name="Comma0 5" xfId="687"/>
    <cellStyle name="Comma0 6" xfId="688"/>
    <cellStyle name="Comma0 7" xfId="689"/>
    <cellStyle name="Comma0 8" xfId="690"/>
    <cellStyle name="Comma0 9" xfId="691"/>
    <cellStyle name="Comma0_NGMK" xfId="692"/>
    <cellStyle name="Currency" xfId="693"/>
    <cellStyle name="Currency [0]_Assump." xfId="694"/>
    <cellStyle name="Currency_Assump." xfId="695"/>
    <cellStyle name="Currency0" xfId="696"/>
    <cellStyle name="Currency0 10" xfId="697"/>
    <cellStyle name="Currency0 2" xfId="698"/>
    <cellStyle name="Currency0 3" xfId="699"/>
    <cellStyle name="Currency0 4" xfId="700"/>
    <cellStyle name="Currency0 5" xfId="701"/>
    <cellStyle name="Currency0 6" xfId="702"/>
    <cellStyle name="Currency0 7" xfId="703"/>
    <cellStyle name="Currency0 8" xfId="704"/>
    <cellStyle name="Currency0 9" xfId="705"/>
    <cellStyle name="Currency0_NGMK" xfId="706"/>
    <cellStyle name="Date" xfId="707"/>
    <cellStyle name="Date 2" xfId="708"/>
    <cellStyle name="Date 3" xfId="709"/>
    <cellStyle name="Date 4" xfId="710"/>
    <cellStyle name="Date 5" xfId="711"/>
    <cellStyle name="Date 6" xfId="712"/>
    <cellStyle name="Date 7" xfId="713"/>
    <cellStyle name="Date 8" xfId="714"/>
    <cellStyle name="Date 9" xfId="715"/>
    <cellStyle name="Date_NGMK" xfId="716"/>
    <cellStyle name="Emphasis 1" xfId="717"/>
    <cellStyle name="Emphasis 2" xfId="718"/>
    <cellStyle name="Emphasis 3" xfId="719"/>
    <cellStyle name="Euro" xfId="720"/>
    <cellStyle name="Explanatory Text" xfId="721"/>
    <cellStyle name="Fixed" xfId="722"/>
    <cellStyle name="Fixed 2" xfId="723"/>
    <cellStyle name="Fixed 3" xfId="724"/>
    <cellStyle name="Fixed 4" xfId="725"/>
    <cellStyle name="Fixed 5" xfId="726"/>
    <cellStyle name="Fixed 6" xfId="727"/>
    <cellStyle name="Fixed 7" xfId="728"/>
    <cellStyle name="Fixed 8" xfId="729"/>
    <cellStyle name="Fixed 9" xfId="730"/>
    <cellStyle name="Fixed_NGMK" xfId="731"/>
    <cellStyle name="Good" xfId="732"/>
    <cellStyle name="Header1" xfId="733"/>
    <cellStyle name="Header2" xfId="734"/>
    <cellStyle name="Heading 1" xfId="735"/>
    <cellStyle name="Heading 1 10" xfId="736"/>
    <cellStyle name="Heading 1 2" xfId="737"/>
    <cellStyle name="Heading 1 3" xfId="738"/>
    <cellStyle name="Heading 1 4" xfId="739"/>
    <cellStyle name="Heading 1 5" xfId="740"/>
    <cellStyle name="Heading 1 6" xfId="741"/>
    <cellStyle name="Heading 1 7" xfId="742"/>
    <cellStyle name="Heading 1 8" xfId="743"/>
    <cellStyle name="Heading 1 9" xfId="744"/>
    <cellStyle name="Heading 1_NGMK" xfId="745"/>
    <cellStyle name="Heading 2" xfId="746"/>
    <cellStyle name="Heading 2 10" xfId="747"/>
    <cellStyle name="Heading 2 2" xfId="748"/>
    <cellStyle name="Heading 2 3" xfId="749"/>
    <cellStyle name="Heading 2 4" xfId="750"/>
    <cellStyle name="Heading 2 5" xfId="751"/>
    <cellStyle name="Heading 2 6" xfId="752"/>
    <cellStyle name="Heading 2 7" xfId="753"/>
    <cellStyle name="Heading 2 8" xfId="754"/>
    <cellStyle name="Heading 2 9" xfId="755"/>
    <cellStyle name="Heading 2_NGMK" xfId="756"/>
    <cellStyle name="Heading 3" xfId="757"/>
    <cellStyle name="Heading 4" xfId="758"/>
    <cellStyle name="I?ioaioiue" xfId="759"/>
    <cellStyle name="I`u?iue_Deri98_D" xfId="760"/>
    <cellStyle name="Iau?iue" xfId="761"/>
    <cellStyle name="Îáû÷íûé_Êíèãà3" xfId="762"/>
    <cellStyle name="Ineduararr?n? acdldnnueer" xfId="763"/>
    <cellStyle name="Input" xfId="764"/>
    <cellStyle name="Linked Cell" xfId="765"/>
    <cellStyle name="Neutral" xfId="766"/>
    <cellStyle name="Norma11l" xfId="767"/>
    <cellStyle name="Norma11l 2" xfId="768"/>
    <cellStyle name="Norma11l 3" xfId="769"/>
    <cellStyle name="Norma11l 4" xfId="770"/>
    <cellStyle name="Norma11l 5" xfId="771"/>
    <cellStyle name="Norma11l 6" xfId="772"/>
    <cellStyle name="Norma11l 7" xfId="773"/>
    <cellStyle name="Norma11l 8" xfId="774"/>
    <cellStyle name="Norma11l 9" xfId="775"/>
    <cellStyle name="Norma11l_02.11.2007" xfId="776"/>
    <cellStyle name="normal" xfId="777"/>
    <cellStyle name="normal 10" xfId="778"/>
    <cellStyle name="normal 2" xfId="779"/>
    <cellStyle name="normal 3" xfId="780"/>
    <cellStyle name="normal 4" xfId="781"/>
    <cellStyle name="normal 5" xfId="782"/>
    <cellStyle name="normal 6" xfId="783"/>
    <cellStyle name="normal 7" xfId="784"/>
    <cellStyle name="normal 8" xfId="785"/>
    <cellStyle name="normal 9" xfId="786"/>
    <cellStyle name="Normal_2003 6 ойлик хисоботлари xls" xfId="787"/>
    <cellStyle name="Note" xfId="788"/>
    <cellStyle name="Note 2" xfId="789"/>
    <cellStyle name="Note 3" xfId="790"/>
    <cellStyle name="Nun??c [0]_ 2003 aia" xfId="791"/>
    <cellStyle name="Nun??c_ 2003 aia" xfId="792"/>
    <cellStyle name="Ociriniaue [0]_1" xfId="793"/>
    <cellStyle name="Ociriniaue_1" xfId="794"/>
    <cellStyle name="Oeiainiaue" xfId="795"/>
    <cellStyle name="Oeiainiaue [0]" xfId="796"/>
    <cellStyle name="Ôèíàíñîâûé [0]_Êíèãà3" xfId="797"/>
    <cellStyle name="Oeiainiaue_,, 255 якуни" xfId="798"/>
    <cellStyle name="Ôèíàíñîâûé_Êíèãà3" xfId="799"/>
    <cellStyle name="Output" xfId="800"/>
    <cellStyle name="Percent" xfId="801"/>
    <cellStyle name="s]_x000d__x000a_;load=rrtsklst.exe_x000d__x000a_Beep=yes_x000d__x000a_NullPort=None_x000d__x000a_BorderWidth=3_x000d__x000a_CursorBlinkRate=530_x000d__x000a_DoubleClickSpeed=452_x000d__x000a_Programs=com" xfId="802"/>
    <cellStyle name="Sheet Title" xfId="803"/>
    <cellStyle name="Title" xfId="804"/>
    <cellStyle name="Total" xfId="805"/>
    <cellStyle name="Total 10" xfId="806"/>
    <cellStyle name="Total 2" xfId="807"/>
    <cellStyle name="Total 3" xfId="808"/>
    <cellStyle name="Total 4" xfId="809"/>
    <cellStyle name="Total 5" xfId="810"/>
    <cellStyle name="Total 6" xfId="811"/>
    <cellStyle name="Total 7" xfId="812"/>
    <cellStyle name="Total 8" xfId="813"/>
    <cellStyle name="Total 9" xfId="814"/>
    <cellStyle name="Total_NGMK" xfId="815"/>
    <cellStyle name="Warning Text" xfId="816"/>
    <cellStyle name="Акцент1 10" xfId="817"/>
    <cellStyle name="Акцент1 11" xfId="818"/>
    <cellStyle name="Акцент1 12" xfId="819"/>
    <cellStyle name="Акцент1 2" xfId="820"/>
    <cellStyle name="Акцент1 3" xfId="821"/>
    <cellStyle name="Акцент1 4" xfId="822"/>
    <cellStyle name="Акцент1 5" xfId="823"/>
    <cellStyle name="Акцент1 6" xfId="824"/>
    <cellStyle name="Акцент1 7" xfId="825"/>
    <cellStyle name="Акцент1 8" xfId="826"/>
    <cellStyle name="Акцент1 9" xfId="827"/>
    <cellStyle name="Акцент2 10" xfId="828"/>
    <cellStyle name="Акцент2 11" xfId="829"/>
    <cellStyle name="Акцент2 12" xfId="830"/>
    <cellStyle name="Акцент2 2" xfId="831"/>
    <cellStyle name="Акцент2 3" xfId="832"/>
    <cellStyle name="Акцент2 4" xfId="833"/>
    <cellStyle name="Акцент2 5" xfId="834"/>
    <cellStyle name="Акцент2 6" xfId="835"/>
    <cellStyle name="Акцент2 7" xfId="836"/>
    <cellStyle name="Акцент2 8" xfId="837"/>
    <cellStyle name="Акцент2 9" xfId="838"/>
    <cellStyle name="Акцент3 10" xfId="839"/>
    <cellStyle name="Акцент3 11" xfId="840"/>
    <cellStyle name="Акцент3 12" xfId="841"/>
    <cellStyle name="Акцент3 2" xfId="842"/>
    <cellStyle name="Акцент3 3" xfId="843"/>
    <cellStyle name="Акцент3 4" xfId="844"/>
    <cellStyle name="Акцент3 5" xfId="845"/>
    <cellStyle name="Акцент3 6" xfId="846"/>
    <cellStyle name="Акцент3 7" xfId="847"/>
    <cellStyle name="Акцент3 8" xfId="848"/>
    <cellStyle name="Акцент3 9" xfId="849"/>
    <cellStyle name="Акцент4 10" xfId="850"/>
    <cellStyle name="Акцент4 11" xfId="851"/>
    <cellStyle name="Акцент4 12" xfId="852"/>
    <cellStyle name="Акцент4 2" xfId="853"/>
    <cellStyle name="Акцент4 3" xfId="854"/>
    <cellStyle name="Акцент4 4" xfId="855"/>
    <cellStyle name="Акцент4 5" xfId="856"/>
    <cellStyle name="Акцент4 6" xfId="857"/>
    <cellStyle name="Акцент4 7" xfId="858"/>
    <cellStyle name="Акцент4 8" xfId="859"/>
    <cellStyle name="Акцент4 9" xfId="860"/>
    <cellStyle name="Акцент5 10" xfId="861"/>
    <cellStyle name="Акцент5 11" xfId="862"/>
    <cellStyle name="Акцент5 12" xfId="863"/>
    <cellStyle name="Акцент5 2" xfId="864"/>
    <cellStyle name="Акцент5 3" xfId="865"/>
    <cellStyle name="Акцент5 4" xfId="866"/>
    <cellStyle name="Акцент5 5" xfId="867"/>
    <cellStyle name="Акцент5 6" xfId="868"/>
    <cellStyle name="Акцент5 7" xfId="869"/>
    <cellStyle name="Акцент5 8" xfId="870"/>
    <cellStyle name="Акцент5 9" xfId="871"/>
    <cellStyle name="Акцент6 10" xfId="872"/>
    <cellStyle name="Акцент6 11" xfId="873"/>
    <cellStyle name="Акцент6 12" xfId="874"/>
    <cellStyle name="Акцент6 2" xfId="875"/>
    <cellStyle name="Акцент6 3" xfId="876"/>
    <cellStyle name="Акцент6 4" xfId="877"/>
    <cellStyle name="Акцент6 5" xfId="878"/>
    <cellStyle name="Акцент6 6" xfId="879"/>
    <cellStyle name="Акцент6 7" xfId="880"/>
    <cellStyle name="Акцент6 8" xfId="881"/>
    <cellStyle name="Акцент6 9" xfId="882"/>
    <cellStyle name="Баланс ИПК &quot;ШАРК&quot; (в рублях)" xfId="883"/>
    <cellStyle name="Баланс ИПК &quot;ШАРК&quot; (в рублях) 10" xfId="884"/>
    <cellStyle name="Баланс ИПК &quot;ШАРК&quot; (в рублях) 11" xfId="885"/>
    <cellStyle name="Баланс ИПК &quot;ШАРК&quot; (в рублях) 2" xfId="886"/>
    <cellStyle name="Баланс ИПК &quot;ШАРК&quot; (в рублях) 3" xfId="887"/>
    <cellStyle name="Баланс ИПК &quot;ШАРК&quot; (в рублях) 4" xfId="888"/>
    <cellStyle name="Баланс ИПК &quot;ШАРК&quot; (в рублях) 5" xfId="889"/>
    <cellStyle name="Баланс ИПК &quot;ШАРК&quot; (в рублях) 6" xfId="890"/>
    <cellStyle name="Баланс ИПК &quot;ШАРК&quot; (в рублях) 7" xfId="891"/>
    <cellStyle name="Баланс ИПК &quot;ШАРК&quot; (в рублях) 8" xfId="892"/>
    <cellStyle name="Баланс ИПК &quot;ШАРК&quot; (в рублях) 9" xfId="893"/>
    <cellStyle name="Баланс ИПК &quot;ШАРК&quot; (в рублях)_02.11.2007" xfId="894"/>
    <cellStyle name="Ввод  10" xfId="895"/>
    <cellStyle name="Ввод  11" xfId="896"/>
    <cellStyle name="Ввод  12" xfId="897"/>
    <cellStyle name="Ввод  2" xfId="898"/>
    <cellStyle name="Ввод  3" xfId="899"/>
    <cellStyle name="Ввод  4" xfId="900"/>
    <cellStyle name="Ввод  5" xfId="901"/>
    <cellStyle name="Ввод  6" xfId="902"/>
    <cellStyle name="Ввод  7" xfId="903"/>
    <cellStyle name="Ввод  8" xfId="904"/>
    <cellStyle name="Ввод  9" xfId="905"/>
    <cellStyle name="Вывод 10" xfId="906"/>
    <cellStyle name="Вывод 11" xfId="907"/>
    <cellStyle name="Вывод 12" xfId="908"/>
    <cellStyle name="Вывод 2" xfId="909"/>
    <cellStyle name="Вывод 3" xfId="910"/>
    <cellStyle name="Вывод 4" xfId="911"/>
    <cellStyle name="Вывод 5" xfId="912"/>
    <cellStyle name="Вывод 6" xfId="913"/>
    <cellStyle name="Вывод 7" xfId="914"/>
    <cellStyle name="Вывод 8" xfId="915"/>
    <cellStyle name="Вывод 9" xfId="916"/>
    <cellStyle name="Вычисление 10" xfId="917"/>
    <cellStyle name="Вычисление 11" xfId="918"/>
    <cellStyle name="Вычисление 12" xfId="919"/>
    <cellStyle name="Вычисление 2" xfId="920"/>
    <cellStyle name="Вычисление 3" xfId="921"/>
    <cellStyle name="Вычисление 4" xfId="922"/>
    <cellStyle name="Вычисление 5" xfId="923"/>
    <cellStyle name="Вычисление 6" xfId="924"/>
    <cellStyle name="Вычисление 7" xfId="925"/>
    <cellStyle name="Вычисление 8" xfId="926"/>
    <cellStyle name="Вычисление 9" xfId="927"/>
    <cellStyle name="Дата" xfId="928"/>
    <cellStyle name="Денежный [0] 2" xfId="929"/>
    <cellStyle name="Денежный 2" xfId="930"/>
    <cellStyle name="Денежный 3" xfId="931"/>
    <cellStyle name="Денежный 3 2" xfId="932"/>
    <cellStyle name="Денежный 3 3" xfId="933"/>
    <cellStyle name="ДЮё¶ [0]" xfId="934"/>
    <cellStyle name="ДЮё¶_±вИ№ЅЗLAN(АьБ¦Б¶°З)" xfId="935"/>
    <cellStyle name="ЕлИ­ [0]" xfId="936"/>
    <cellStyle name="ЕлИ­_±вИ№ЅЗLAN(АьБ¦Б¶°З)" xfId="937"/>
    <cellStyle name="ельводхоз" xfId="938"/>
    <cellStyle name="Заголовок" xfId="939"/>
    <cellStyle name="Заголовок 1 10" xfId="940"/>
    <cellStyle name="Заголовок 1 11" xfId="941"/>
    <cellStyle name="Заголовок 1 12" xfId="942"/>
    <cellStyle name="Заголовок 1 2" xfId="943"/>
    <cellStyle name="Заголовок 1 3" xfId="944"/>
    <cellStyle name="Заголовок 1 4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2" xfId="954"/>
    <cellStyle name="Заголовок 2 3" xfId="955"/>
    <cellStyle name="Заголовок 2 4" xfId="956"/>
    <cellStyle name="Заголовок 2 5" xfId="957"/>
    <cellStyle name="Заголовок 2 6" xfId="958"/>
    <cellStyle name="Заголовок 2 7" xfId="959"/>
    <cellStyle name="Заголовок 2 8" xfId="960"/>
    <cellStyle name="Заголовок 2 9" xfId="961"/>
    <cellStyle name="Заголовок 3 10" xfId="962"/>
    <cellStyle name="Заголовок 3 11" xfId="963"/>
    <cellStyle name="Заголовок 3 12" xfId="964"/>
    <cellStyle name="Заголовок 3 2" xfId="965"/>
    <cellStyle name="Заголовок 3 3" xfId="966"/>
    <cellStyle name="Заголовок 3 4" xfId="967"/>
    <cellStyle name="Заголовок 3 5" xfId="968"/>
    <cellStyle name="Заголовок 3 6" xfId="969"/>
    <cellStyle name="Заголовок 3 7" xfId="970"/>
    <cellStyle name="Заголовок 3 8" xfId="971"/>
    <cellStyle name="Заголовок 3 9" xfId="972"/>
    <cellStyle name="Заголовок 4 10" xfId="973"/>
    <cellStyle name="Заголовок 4 11" xfId="974"/>
    <cellStyle name="Заголовок 4 12" xfId="975"/>
    <cellStyle name="Заголовок 4 2" xfId="976"/>
    <cellStyle name="Заголовок 4 3" xfId="977"/>
    <cellStyle name="Заголовок 4 4" xfId="978"/>
    <cellStyle name="Заголовок 4 5" xfId="979"/>
    <cellStyle name="Заголовок 4 6" xfId="980"/>
    <cellStyle name="Заголовок 4 7" xfId="981"/>
    <cellStyle name="Заголовок 4 8" xfId="982"/>
    <cellStyle name="Заголовок 4 9" xfId="983"/>
    <cellStyle name="ЗҐБШ_±вИ№ЅЗLAN(АьБ¦Б¶°З)" xfId="984"/>
    <cellStyle name="Итог 10" xfId="985"/>
    <cellStyle name="Итог 11" xfId="986"/>
    <cellStyle name="Итог 12" xfId="987"/>
    <cellStyle name="Итог 2" xfId="988"/>
    <cellStyle name="Итог 3" xfId="989"/>
    <cellStyle name="Итог 4" xfId="990"/>
    <cellStyle name="Итог 5" xfId="991"/>
    <cellStyle name="Итог 6" xfId="992"/>
    <cellStyle name="Итог 7" xfId="993"/>
    <cellStyle name="Итог 8" xfId="994"/>
    <cellStyle name="Итог 9" xfId="995"/>
    <cellStyle name="Контрольная ячейка 10" xfId="996"/>
    <cellStyle name="Контрольная ячейка 11" xfId="997"/>
    <cellStyle name="Контрольная ячейка 12" xfId="998"/>
    <cellStyle name="Контрольная ячейка 2" xfId="999"/>
    <cellStyle name="Контрольная ячейка 3" xfId="1000"/>
    <cellStyle name="Контрольная ячейка 4" xfId="1001"/>
    <cellStyle name="Контрольная ячейка 5" xfId="1002"/>
    <cellStyle name="Контрольная ячейка 6" xfId="1003"/>
    <cellStyle name="Контрольная ячейка 7" xfId="1004"/>
    <cellStyle name="Контрольная ячейка 8" xfId="1005"/>
    <cellStyle name="Контрольная ячейка 9" xfId="1006"/>
    <cellStyle name="Название 10" xfId="1007"/>
    <cellStyle name="Название 11" xfId="1008"/>
    <cellStyle name="Название 12" xfId="1009"/>
    <cellStyle name="Название 13" xfId="1010"/>
    <cellStyle name="Название 2" xfId="1011"/>
    <cellStyle name="Название 2 2" xfId="1012"/>
    <cellStyle name="Название 3" xfId="1013"/>
    <cellStyle name="Название 3 2" xfId="1014"/>
    <cellStyle name="Название 4" xfId="1015"/>
    <cellStyle name="Название 5" xfId="1016"/>
    <cellStyle name="Название 6" xfId="1017"/>
    <cellStyle name="Название 7" xfId="1018"/>
    <cellStyle name="Название 8" xfId="1019"/>
    <cellStyle name="Название 9" xfId="1020"/>
    <cellStyle name="Нейтральный 10" xfId="1021"/>
    <cellStyle name="Нейтральный 11" xfId="1022"/>
    <cellStyle name="Нейтральный 12" xfId="1023"/>
    <cellStyle name="Нейтральный 2" xfId="1024"/>
    <cellStyle name="Нейтральный 3" xfId="1025"/>
    <cellStyle name="Нейтральный 4" xfId="1026"/>
    <cellStyle name="Нейтральный 5" xfId="1027"/>
    <cellStyle name="Нейтральный 6" xfId="1028"/>
    <cellStyle name="Нейтральный 7" xfId="1029"/>
    <cellStyle name="Нейтральный 8" xfId="1030"/>
    <cellStyle name="Нейтральный 9" xfId="1031"/>
    <cellStyle name="Њ…‹жђШ‚и [0.00]_PRODUCT DETAIL Q1" xfId="1032"/>
    <cellStyle name="Њ…‹жђШ‚и_PRODUCT DETAIL Q1" xfId="1033"/>
    <cellStyle name="Обычнщй_907ШОХ" xfId="1034"/>
    <cellStyle name="Обычный" xfId="0" builtinId="0"/>
    <cellStyle name="Обычный (+/-)" xfId="1035"/>
    <cellStyle name="Обычный 10" xfId="1036"/>
    <cellStyle name="Обычный 10 2" xfId="1037"/>
    <cellStyle name="Обычный 11" xfId="1038"/>
    <cellStyle name="Обычный 11 2" xfId="1039"/>
    <cellStyle name="Обычный 11 2 2" xfId="1040"/>
    <cellStyle name="Обычный 11 3" xfId="1041"/>
    <cellStyle name="Обычный 12" xfId="1042"/>
    <cellStyle name="Обычный 12 2" xfId="1043"/>
    <cellStyle name="Обычный 13" xfId="1044"/>
    <cellStyle name="Обычный 13 2" xfId="1045"/>
    <cellStyle name="Обычный 14" xfId="1046"/>
    <cellStyle name="Обычный 14 2" xfId="1047"/>
    <cellStyle name="Обычный 15" xfId="1048"/>
    <cellStyle name="Обычный 16" xfId="1049"/>
    <cellStyle name="Обычный 16 2" xfId="1050"/>
    <cellStyle name="Обычный 16_Иловалар" xfId="1051"/>
    <cellStyle name="Обычный 17" xfId="1052"/>
    <cellStyle name="Обычный 18" xfId="1053"/>
    <cellStyle name="Обычный 19" xfId="1054"/>
    <cellStyle name="Обычный 2" xfId="1055"/>
    <cellStyle name="Обычный 2 10" xfId="1056"/>
    <cellStyle name="Обычный 2 11" xfId="1057"/>
    <cellStyle name="Обычный 2 12" xfId="1058"/>
    <cellStyle name="Обычный 2 13" xfId="1059"/>
    <cellStyle name="Обычный 2 14" xfId="1060"/>
    <cellStyle name="Обычный 2 15" xfId="1061"/>
    <cellStyle name="Обычный 2 16" xfId="1062"/>
    <cellStyle name="Обычный 2 17" xfId="1063"/>
    <cellStyle name="Обычный 2 18" xfId="1064"/>
    <cellStyle name="Обычный 2 19" xfId="1065"/>
    <cellStyle name="Обычный 2 2" xfId="1066"/>
    <cellStyle name="Обычный 2 2 2" xfId="1067"/>
    <cellStyle name="Обычный 2 2 2 2" xfId="1068"/>
    <cellStyle name="Обычный 2 2 2 3" xfId="1069"/>
    <cellStyle name="Обычный 2 2 3" xfId="1070"/>
    <cellStyle name="Обычный 2 2 3 2" xfId="1071"/>
    <cellStyle name="Обычный 2 2 3 3" xfId="1072"/>
    <cellStyle name="Обычный 2 2 4" xfId="1073"/>
    <cellStyle name="Обычный 2 2 4 2" xfId="1074"/>
    <cellStyle name="Обычный 2 2 5" xfId="1075"/>
    <cellStyle name="Обычный 2 2 6" xfId="1076"/>
    <cellStyle name="Обычный 2 2 7" xfId="1077"/>
    <cellStyle name="Обычный 2 2_02.11.2007" xfId="1078"/>
    <cellStyle name="Обычный 2 3" xfId="1079"/>
    <cellStyle name="Обычный 2 3 2" xfId="1080"/>
    <cellStyle name="Обычный 2 3 2 2" xfId="1081"/>
    <cellStyle name="Обычный 2 3 3" xfId="1082"/>
    <cellStyle name="Обычный 2 3_Иловалар" xfId="1083"/>
    <cellStyle name="Обычный 2 4" xfId="1084"/>
    <cellStyle name="Обычный 2 4 2" xfId="1085"/>
    <cellStyle name="Обычный 2 5" xfId="1086"/>
    <cellStyle name="Обычный 2 5 2" xfId="1087"/>
    <cellStyle name="Обычный 2 6" xfId="1088"/>
    <cellStyle name="Обычный 2 7" xfId="1089"/>
    <cellStyle name="Обычный 2 8" xfId="1090"/>
    <cellStyle name="Обычный 2 9" xfId="1091"/>
    <cellStyle name="Обычный 2_02.11.2007" xfId="1092"/>
    <cellStyle name="Обычный 20" xfId="1093"/>
    <cellStyle name="Обычный 21" xfId="1094"/>
    <cellStyle name="Обычный 22" xfId="1095"/>
    <cellStyle name="Обычный 23" xfId="1096"/>
    <cellStyle name="Обычный 24" xfId="1097"/>
    <cellStyle name="Обычный 25" xfId="1098"/>
    <cellStyle name="Обычный 26" xfId="1099"/>
    <cellStyle name="Обычный 26 2" xfId="1100"/>
    <cellStyle name="Обычный 27" xfId="1101"/>
    <cellStyle name="Обычный 27 2" xfId="1102"/>
    <cellStyle name="Обычный 28" xfId="1103"/>
    <cellStyle name="Обычный 29" xfId="1104"/>
    <cellStyle name="Обычный 3" xfId="1105"/>
    <cellStyle name="Обычный 3 2" xfId="1106"/>
    <cellStyle name="Обычный 3 2 2" xfId="1107"/>
    <cellStyle name="Обычный 3 2 2 2" xfId="1108"/>
    <cellStyle name="Обычный 3 2 2_паспорт локализации холодильников 2012г версия для Р.М " xfId="1109"/>
    <cellStyle name="Обычный 3 2 3" xfId="1110"/>
    <cellStyle name="Обычный 3 2_паспорт локализации холодильников 2012г версия для Р.М " xfId="1111"/>
    <cellStyle name="Обычный 3 3" xfId="1112"/>
    <cellStyle name="Обычный 3 3 2" xfId="1113"/>
    <cellStyle name="Обычный 3 3 3" xfId="1114"/>
    <cellStyle name="Обычный 3 4" xfId="1115"/>
    <cellStyle name="Обычный 3_Сино-308 15.12.10" xfId="1116"/>
    <cellStyle name="Обычный 30" xfId="1117"/>
    <cellStyle name="Обычный 31" xfId="1118"/>
    <cellStyle name="Обычный 4" xfId="1119"/>
    <cellStyle name="Обычный 4 2" xfId="1120"/>
    <cellStyle name="Обычный 4 2 2" xfId="1121"/>
    <cellStyle name="Обычный 4 2 3" xfId="1122"/>
    <cellStyle name="Обычный 4 2_паспорт локализации холодильников 2012г версия для Р.М " xfId="1123"/>
    <cellStyle name="Обычный 4 3" xfId="1124"/>
    <cellStyle name="Обычный 4 4" xfId="1125"/>
    <cellStyle name="Обычный 4 5" xfId="1126"/>
    <cellStyle name="Обычный 4 6" xfId="1127"/>
    <cellStyle name="Обычный 5" xfId="1128"/>
    <cellStyle name="Обычный 5 2" xfId="1129"/>
    <cellStyle name="Обычный 5 3" xfId="1130"/>
    <cellStyle name="Обычный 5_паспорт локализации холодильников 2012г версия для Р.М " xfId="1131"/>
    <cellStyle name="Обычный 6" xfId="1132"/>
    <cellStyle name="Обычный 6 2" xfId="1133"/>
    <cellStyle name="Обычный 6 3" xfId="1134"/>
    <cellStyle name="Обычный 6 4" xfId="1135"/>
    <cellStyle name="Обычный 6 5" xfId="1136"/>
    <cellStyle name="Обычный 7" xfId="1137"/>
    <cellStyle name="Обычный 7 2" xfId="1138"/>
    <cellStyle name="Обычный 7 3" xfId="1139"/>
    <cellStyle name="Обычный 7 4" xfId="1140"/>
    <cellStyle name="Обычный 8" xfId="1141"/>
    <cellStyle name="Обычный 8 2" xfId="1142"/>
    <cellStyle name="Обычный 9" xfId="1143"/>
    <cellStyle name="Обычный 9 2" xfId="1144"/>
    <cellStyle name="Плохой 10" xfId="1145"/>
    <cellStyle name="Плохой 11" xfId="1146"/>
    <cellStyle name="Плохой 12" xfId="1147"/>
    <cellStyle name="Плохой 2" xfId="1148"/>
    <cellStyle name="Плохой 3" xfId="1149"/>
    <cellStyle name="Плохой 4" xfId="1150"/>
    <cellStyle name="Плохой 5" xfId="1151"/>
    <cellStyle name="Плохой 6" xfId="1152"/>
    <cellStyle name="Плохой 7" xfId="1153"/>
    <cellStyle name="Плохой 8" xfId="1154"/>
    <cellStyle name="Плохой 9" xfId="1155"/>
    <cellStyle name="Пояснение 10" xfId="1156"/>
    <cellStyle name="Пояснение 11" xfId="1157"/>
    <cellStyle name="Пояснение 12" xfId="1158"/>
    <cellStyle name="Пояснение 2" xfId="1159"/>
    <cellStyle name="Пояснение 3" xfId="1160"/>
    <cellStyle name="Пояснение 4" xfId="1161"/>
    <cellStyle name="Пояснение 5" xfId="1162"/>
    <cellStyle name="Пояснение 6" xfId="1163"/>
    <cellStyle name="Пояснение 7" xfId="1164"/>
    <cellStyle name="Пояснение 8" xfId="1165"/>
    <cellStyle name="Пояснение 9" xfId="1166"/>
    <cellStyle name="Примечание 10" xfId="1167"/>
    <cellStyle name="Примечание 11" xfId="1168"/>
    <cellStyle name="Примечание 12" xfId="1169"/>
    <cellStyle name="Примечание 2" xfId="1170"/>
    <cellStyle name="Примечание 3" xfId="1171"/>
    <cellStyle name="Примечание 4" xfId="1172"/>
    <cellStyle name="Примечание 4 2" xfId="1173"/>
    <cellStyle name="Примечание 5" xfId="1174"/>
    <cellStyle name="Примечание 6" xfId="1175"/>
    <cellStyle name="Примечание 7" xfId="1176"/>
    <cellStyle name="Примечание 8" xfId="1177"/>
    <cellStyle name="Примечание 9" xfId="1178"/>
    <cellStyle name="Процент (+/-)" xfId="1179"/>
    <cellStyle name="Процент_Свод2" xfId="1180"/>
    <cellStyle name="Процентный 10" xfId="1181"/>
    <cellStyle name="Процентный 11" xfId="1182"/>
    <cellStyle name="Процентный 2" xfId="1183"/>
    <cellStyle name="Процентный 2 2" xfId="1184"/>
    <cellStyle name="Процентный 2 2 2" xfId="1185"/>
    <cellStyle name="Процентный 2 2 3" xfId="1186"/>
    <cellStyle name="Процентный 2 2 4" xfId="1187"/>
    <cellStyle name="Процентный 2 2 5" xfId="1188"/>
    <cellStyle name="Процентный 2 2 6" xfId="1189"/>
    <cellStyle name="Процентный 2 3" xfId="1190"/>
    <cellStyle name="Процентный 2 4" xfId="1191"/>
    <cellStyle name="Процентный 2 4 2" xfId="1192"/>
    <cellStyle name="Процентный 2 5" xfId="1193"/>
    <cellStyle name="Процентный 2 6" xfId="1194"/>
    <cellStyle name="Процентный 2 7" xfId="1195"/>
    <cellStyle name="Процентный 2 8" xfId="1196"/>
    <cellStyle name="Процентный 3" xfId="1197"/>
    <cellStyle name="Процентный 3 2" xfId="1198"/>
    <cellStyle name="Процентный 3 3" xfId="1199"/>
    <cellStyle name="Процентный 4" xfId="1200"/>
    <cellStyle name="Процентный 5" xfId="1201"/>
    <cellStyle name="Процентный 5 2" xfId="1202"/>
    <cellStyle name="Процентный 6" xfId="1203"/>
    <cellStyle name="Процентный 7" xfId="1204"/>
    <cellStyle name="Процентный 8" xfId="1205"/>
    <cellStyle name="Процентный 9" xfId="1206"/>
    <cellStyle name="Связанная ячейка 10" xfId="1207"/>
    <cellStyle name="Связанная ячейка 11" xfId="1208"/>
    <cellStyle name="Связанная ячейка 12" xfId="1209"/>
    <cellStyle name="Связанная ячейка 2" xfId="1210"/>
    <cellStyle name="Связанная ячейка 3" xfId="1211"/>
    <cellStyle name="Связанная ячейка 4" xfId="1212"/>
    <cellStyle name="Связанная ячейка 5" xfId="1213"/>
    <cellStyle name="Связанная ячейка 6" xfId="1214"/>
    <cellStyle name="Связанная ячейка 7" xfId="1215"/>
    <cellStyle name="Связанная ячейка 8" xfId="1216"/>
    <cellStyle name="Связанная ячейка 9" xfId="1217"/>
    <cellStyle name="Стиль 1" xfId="1218"/>
    <cellStyle name="Стиль 1 2" xfId="1219"/>
    <cellStyle name="Стиль 1 2 2" xfId="1220"/>
    <cellStyle name="Стиль 1 3" xfId="1221"/>
    <cellStyle name="Стиль 1 4" xfId="1222"/>
    <cellStyle name="Текст" xfId="1223"/>
    <cellStyle name="Текст предупреждения 10" xfId="1224"/>
    <cellStyle name="Текст предупреждения 11" xfId="1225"/>
    <cellStyle name="Текст предупреждения 12" xfId="1226"/>
    <cellStyle name="Текст предупреждения 2" xfId="1227"/>
    <cellStyle name="Текст предупреждения 3" xfId="1228"/>
    <cellStyle name="Текст предупреждения 4" xfId="1229"/>
    <cellStyle name="Текст предупреждения 5" xfId="1230"/>
    <cellStyle name="Текст предупреждения 6" xfId="1231"/>
    <cellStyle name="Текст предупреждения 7" xfId="1232"/>
    <cellStyle name="Текст предупреждения 8" xfId="1233"/>
    <cellStyle name="Текст предупреждения 9" xfId="1234"/>
    <cellStyle name="Тысячи [0]_  осн" xfId="1235"/>
    <cellStyle name="Тысячи_  осн" xfId="1236"/>
    <cellStyle name="Финансовый" xfId="1" builtinId="3"/>
    <cellStyle name="Финансовый [0] 2" xfId="1237"/>
    <cellStyle name="Финансовый [0] 2 2" xfId="1238"/>
    <cellStyle name="Финансовый [0] 3" xfId="1239"/>
    <cellStyle name="Финансовый [0] 4" xfId="1240"/>
    <cellStyle name="Финансовый [0] 4 2" xfId="1241"/>
    <cellStyle name="Финансовый 10" xfId="1242"/>
    <cellStyle name="Финансовый 11" xfId="1243"/>
    <cellStyle name="Финансовый 12" xfId="1244"/>
    <cellStyle name="Финансовый 13" xfId="1245"/>
    <cellStyle name="Финансовый 14" xfId="1246"/>
    <cellStyle name="Финансовый 2" xfId="1247"/>
    <cellStyle name="Финансовый 2 10" xfId="1248"/>
    <cellStyle name="Финансовый 2 2" xfId="1249"/>
    <cellStyle name="Финансовый 2 2 2" xfId="1250"/>
    <cellStyle name="Финансовый 2 2 2 2" xfId="1251"/>
    <cellStyle name="Финансовый 2 2 2 3" xfId="1252"/>
    <cellStyle name="Финансовый 2 3" xfId="1253"/>
    <cellStyle name="Финансовый 2 3 2" xfId="1254"/>
    <cellStyle name="Финансовый 2 3 3" xfId="1255"/>
    <cellStyle name="Финансовый 2 4" xfId="1256"/>
    <cellStyle name="Финансовый 2 5" xfId="1257"/>
    <cellStyle name="Финансовый 2 6" xfId="1258"/>
    <cellStyle name="Финансовый 2 7" xfId="1259"/>
    <cellStyle name="Финансовый 2 8" xfId="1260"/>
    <cellStyle name="Финансовый 2 9" xfId="1261"/>
    <cellStyle name="Финансовый 2_Навои" xfId="1262"/>
    <cellStyle name="Финансовый 3" xfId="1263"/>
    <cellStyle name="Финансовый 3 2" xfId="1264"/>
    <cellStyle name="Финансовый 3 2 2" xfId="1265"/>
    <cellStyle name="Финансовый 3 3" xfId="1266"/>
    <cellStyle name="Финансовый 3 4" xfId="1267"/>
    <cellStyle name="Финансовый 4" xfId="1268"/>
    <cellStyle name="Финансовый 4 2" xfId="1269"/>
    <cellStyle name="Финансовый 4 2 2" xfId="1270"/>
    <cellStyle name="Финансовый 4 3" xfId="1271"/>
    <cellStyle name="Финансовый 5" xfId="1272"/>
    <cellStyle name="Финансовый 5 2" xfId="1273"/>
    <cellStyle name="Финансовый 5_1.А Шахта расчет цены на 2012.04." xfId="1274"/>
    <cellStyle name="Финансовый 6" xfId="1275"/>
    <cellStyle name="Финансовый 6 2" xfId="1276"/>
    <cellStyle name="Финансовый 7" xfId="1277"/>
    <cellStyle name="Финансовый 7 2" xfId="1278"/>
    <cellStyle name="Финансовый 7 3" xfId="1279"/>
    <cellStyle name="Финансовый 7 4" xfId="1280"/>
    <cellStyle name="Финансовый 8" xfId="1281"/>
    <cellStyle name="Финансовый 8 2" xfId="1282"/>
    <cellStyle name="Финансовый 8 3" xfId="1283"/>
    <cellStyle name="Финансовый 9" xfId="1284"/>
    <cellStyle name="Хороший 10" xfId="1285"/>
    <cellStyle name="Хороший 11" xfId="1286"/>
    <cellStyle name="Хороший 12" xfId="1287"/>
    <cellStyle name="Хороший 2" xfId="1288"/>
    <cellStyle name="Хороший 3" xfId="1289"/>
    <cellStyle name="Хороший 4" xfId="1290"/>
    <cellStyle name="Хороший 5" xfId="1291"/>
    <cellStyle name="Хороший 6" xfId="1292"/>
    <cellStyle name="Хороший 7" xfId="1293"/>
    <cellStyle name="Хороший 8" xfId="1294"/>
    <cellStyle name="Хороший 9" xfId="1295"/>
    <cellStyle name="Џђћ–…ќ’ќ›‰" xfId="1296"/>
    <cellStyle name="Џђћ–…ќ’ќ›‰ 10" xfId="1297"/>
    <cellStyle name="Џђћ–…ќ’ќ›‰ 11" xfId="1298"/>
    <cellStyle name="Џђћ–…ќ’ќ›‰ 12" xfId="1299"/>
    <cellStyle name="Џђћ–…ќ’ќ›‰ 13" xfId="1300"/>
    <cellStyle name="Џђћ–…ќ’ќ›‰ 2" xfId="1301"/>
    <cellStyle name="Џђћ–…ќ’ќ›‰ 3" xfId="1302"/>
    <cellStyle name="Џђћ–…ќ’ќ›‰ 4" xfId="1303"/>
    <cellStyle name="Џђћ–…ќ’ќ›‰ 5" xfId="1304"/>
    <cellStyle name="Џђћ–…ќ’ќ›‰ 6" xfId="1305"/>
    <cellStyle name="Џђћ–…ќ’ќ›‰ 7" xfId="1306"/>
    <cellStyle name="Џђћ–…ќ’ќ›‰ 8" xfId="1307"/>
    <cellStyle name="Џђћ–…ќ’ќ›‰ 9" xfId="1308"/>
    <cellStyle name="Џђћ–…ќ’ќ›‰_02.11.2007" xfId="1309"/>
    <cellStyle name="Шапка" xfId="1310"/>
    <cellStyle name="アクセント 1" xfId="1311"/>
    <cellStyle name="アクセント 2" xfId="1312"/>
    <cellStyle name="アクセント 3" xfId="1313"/>
    <cellStyle name="アクセント 4" xfId="1314"/>
    <cellStyle name="アクセント 5" xfId="1315"/>
    <cellStyle name="アクセント 6" xfId="1316"/>
    <cellStyle name="タイトル" xfId="1317"/>
    <cellStyle name="チェック セル" xfId="1318"/>
    <cellStyle name="どちらでもない" xfId="1319"/>
    <cellStyle name="メモ" xfId="1320"/>
    <cellStyle name="リンク セル" xfId="1321"/>
    <cellStyle name="백분율_95" xfId="1322"/>
    <cellStyle name="쉼표 [0]_03-01-##" xfId="1323"/>
    <cellStyle name="콤마 [0]_0818이전지연품목" xfId="1324"/>
    <cellStyle name="콤마_0818이전지연품목" xfId="1325"/>
    <cellStyle name="통화 [0]_95" xfId="1326"/>
    <cellStyle name="통화_95" xfId="1327"/>
    <cellStyle name="표준_~att2210" xfId="1328"/>
    <cellStyle name="화폐기호_도장2 " xfId="1329"/>
    <cellStyle name="入力" xfId="1330"/>
    <cellStyle name="出力" xfId="1331"/>
    <cellStyle name="常规_PK_CNcntr(Bolt-11)" xfId="1332"/>
    <cellStyle name="悪い" xfId="1333"/>
    <cellStyle name="標準_03-01-02 240-u 100% List Revised3 Base" xfId="1334"/>
    <cellStyle name="良い" xfId="1335"/>
    <cellStyle name="見出し 1" xfId="1336"/>
    <cellStyle name="見出し 2" xfId="1337"/>
    <cellStyle name="見出し 3" xfId="1338"/>
    <cellStyle name="見出し 4" xfId="1339"/>
    <cellStyle name="計算" xfId="1340"/>
    <cellStyle name="説明文" xfId="1341"/>
    <cellStyle name="警告文" xfId="1342"/>
    <cellStyle name="集計" xfId="1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40;&#1058;&#1056;&#1040;&#1058;&#1067;%20&#1055;&#1054;%20&#1054;&#1041;&#1066;&#1045;&#1044;&#1048;&#1053;&#1045;&#1053;&#1048;&#1070;/&#1057;&#1074;&#1086;&#1076;%20%202020&#1075;&#1086;&#1076;/&#1047;&#1072;&#1090;&#1088;&#1072;&#1090;&#1099;%20&#1087;&#1086;%20&#1074;&#1080;&#1076;&#1072;&#1084;%20&#1087;&#1088;&#1086;&#1076;&#1091;&#1082;&#1094;&#1080;&#1080;%2020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40;&#1058;&#1056;&#1040;&#1058;&#1067;%20&#1055;&#1054;%20&#1054;&#1041;&#1066;&#1045;&#1044;&#1048;&#1053;&#1045;&#1053;&#1048;&#1070;/&#1057;&#1074;&#1086;&#1076;%20%202021&#1075;&#1086;&#1076;/&#1047;&#1072;&#1090;&#1088;&#1072;&#1090;&#1099;%20&#1087;&#1086;%20&#1074;&#1080;&#1076;&#1072;&#1084;%20&#1087;&#1088;&#1086;&#1076;&#1091;&#1082;&#1094;&#1080;&#1080;%202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(&#1085;&#1077;%20&#1091;&#1076;&#1072;&#1083;&#1103;&#1090;&#1100;!)/&#1047;&#1072;&#1075;&#1088;&#1091;&#1079;&#1082;&#1080;/Telegram%20Desktop/&#1042;&#1099;&#1087;&#1086;&#1083;&#1085;&#1077;&#1085;&#1080;&#1077;%20&#1055;&#1072;&#1088;&#1072;&#1084;.%20&#1041;&#1080;&#1079;&#1085;&#1077;&#1089;-&#1087;&#1083;&#1072;&#1085;%20%202020%20&#107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40;&#1058;&#1056;&#1040;&#1058;&#1067;%20&#1055;&#1054;%20&#1054;&#1041;&#1066;&#1045;&#1044;&#1048;&#1053;&#1045;&#1053;&#1048;&#1070;/&#1057;&#1074;&#1086;&#1076;%20%202019&#1075;&#1086;&#1076;/&#1047;&#1072;&#1090;&#1088;&#1072;&#1090;&#1099;%20&#1087;&#1086;%20&#1074;&#1080;&#1076;&#1072;&#1084;%20&#1087;&#1088;&#1086;&#1076;&#1091;&#1082;&#1094;&#1080;&#1080;%2020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(&#1085;&#1077;%20&#1091;&#1076;&#1072;&#1083;&#1103;&#1090;&#1100;!)/&#1047;&#1072;&#1075;&#1088;&#1091;&#1079;&#1082;&#1080;/Telegram%20Desktop/&#1042;&#1099;&#1087;&#1086;&#1083;.&#1087;&#1072;&#1088;&#1072;&#1084;.%20&#1041;&#1080;&#1079;&#1085;&#1077;&#1089;-&#1087;&#1083;&#1072;&#1085;%20%202023%20&#1088;&#1072;&#1073;&#1086;&#1095;&#1080;&#1081;%20%20&#1089;&#1090;&#1086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(&#1085;&#1077;%20&#1091;&#1076;&#1072;&#1083;&#1103;&#1090;&#1100;!)/&#1047;&#1072;&#1075;&#1088;&#1091;&#1079;&#1082;&#1080;/Telegram%20Desktop/&#1042;&#1099;&#1087;&#1086;&#1083;&#1085;&#1077;&#1085;&#1080;&#1077;%20&#1055;&#1072;&#1088;&#1072;&#1084;.%20&#1041;&#1080;&#1079;&#1085;&#1077;&#1089;-%20&#1087;&#1083;&#1072;&#1085;%202019&#1075;%2019.03.20&#1075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(&#1085;&#1077;%20&#1091;&#1076;&#1072;&#1083;&#1103;&#1090;&#1100;!)/&#1047;&#1072;&#1075;&#1088;&#1091;&#1079;&#1082;&#1080;/Telegram%20Desktop/&#1042;&#1099;&#1087;&#1086;&#1083;&#1085;&#1077;&#1085;&#1080;&#1077;%20&#1055;&#1072;&#1088;&#1072;&#1084;.%20&#1041;&#1080;&#1079;&#1085;&#1077;&#1089;-%20&#1087;&#1083;&#1072;&#1085;%202019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%20(&#1085;&#1077;%20&#1091;&#1076;&#1072;&#1083;&#1103;&#1090;&#1100;)/&#1042;&#1099;&#1087;&#1086;&#1083;&#1085;&#1077;&#1085;&#1080;&#1077;%20&#1055;&#1072;&#1088;&#1072;&#1084;.%20&#1041;&#1080;&#1079;&#1085;&#1077;&#1089;-%20&#1087;&#1083;&#1072;&#1085;%202019&#1075;%2019.03.20&#1075;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%20(&#1085;&#1077;%20&#1091;&#1076;&#1072;&#1083;&#1103;&#1090;&#1100;)/&#1042;&#1099;&#1087;&#1086;&#1083;&#1085;&#1077;&#1085;&#1080;&#1077;%20&#1055;&#1072;&#1088;&#1072;&#1084;.%20&#1041;&#1080;&#1079;&#1085;&#1077;&#1089;-%20&#1087;&#1083;&#1072;&#1085;%202019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99;&#1087;.&#1087;&#1072;&#1088;.%20&#1041;&#1080;&#1079;&#1085;&#1077;&#1089;-&#1087;&#1083;&#1072;&#1085;%20%202024%20&#1075;&#1086;&#10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%20(&#1085;&#1077;%20&#1091;&#1076;&#1072;&#1083;&#1103;&#1090;&#1100;)/&#1089;&#1084;&#1077;&#1090;&#1099;%20&#1080;&#1079;&#1084;%20&#1072;&#1087;&#1087;&#1072;&#1088;&#1090;&#1072;&#1082;%20&#1080;%20&#1072;&#1090;&#1090;/&#1057;&#1084;&#1042;&#1099;&#109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99;&#1087;&#1086;&#1083;.&#1087;&#1072;&#1088;&#1072;&#1084;.%20&#1041;&#1080;&#1079;&#1085;&#1077;&#1089;-&#1087;&#1083;&#1072;&#1085;%20%202023%20&#1088;&#1072;&#1073;&#1086;&#1095;&#1080;&#1081;%20%20&#1089;&#1090;&#1086;&#108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19%20&#1074;&#1072;&#1088;&#1080;&#1072;&#1085;&#1090;%20%20&#1088;&#1075;&#1090;&#1086;%20%2021.07.22\&#1057;&#1084;&#1042;&#1099;&#109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"/>
      <sheetName val="2 квартал"/>
      <sheetName val="1полугодие"/>
      <sheetName val="3 квартал"/>
      <sheetName val="9месяцев"/>
      <sheetName val="4квартал "/>
      <sheetName val="Год"/>
      <sheetName val="со спецнабд"/>
      <sheetName val="Лист1"/>
    </sheetNames>
    <sheetDataSet>
      <sheetData sheetId="0">
        <row r="14">
          <cell r="F14">
            <v>152941.84</v>
          </cell>
        </row>
        <row r="297">
          <cell r="B297">
            <v>15822.778173897415</v>
          </cell>
        </row>
      </sheetData>
      <sheetData sheetId="1"/>
      <sheetData sheetId="2">
        <row r="16">
          <cell r="D16">
            <v>123467404</v>
          </cell>
          <cell r="E16">
            <v>100454385</v>
          </cell>
        </row>
        <row r="60">
          <cell r="D60">
            <v>94875769.5</v>
          </cell>
          <cell r="E60">
            <v>69468963</v>
          </cell>
        </row>
        <row r="61">
          <cell r="D61">
            <v>11385089</v>
          </cell>
          <cell r="E61">
            <v>8334743</v>
          </cell>
        </row>
        <row r="62">
          <cell r="D62">
            <v>59475740</v>
          </cell>
          <cell r="E62">
            <v>73320111</v>
          </cell>
        </row>
        <row r="65">
          <cell r="D65">
            <v>13045583.995652173</v>
          </cell>
          <cell r="E65">
            <v>13871005</v>
          </cell>
        </row>
        <row r="104">
          <cell r="D104">
            <v>391713071</v>
          </cell>
          <cell r="E104">
            <v>224339326</v>
          </cell>
        </row>
        <row r="105">
          <cell r="D105">
            <v>285498087.84365219</v>
          </cell>
          <cell r="E105">
            <v>167140254</v>
          </cell>
        </row>
        <row r="110">
          <cell r="D110">
            <v>2376476</v>
          </cell>
          <cell r="E110">
            <v>4319305</v>
          </cell>
        </row>
        <row r="126">
          <cell r="D126">
            <v>24601157.039999999</v>
          </cell>
          <cell r="E126">
            <v>19927367</v>
          </cell>
        </row>
        <row r="197">
          <cell r="D197">
            <v>32619262</v>
          </cell>
          <cell r="E197">
            <v>39534647</v>
          </cell>
        </row>
        <row r="243">
          <cell r="D243">
            <v>845150</v>
          </cell>
          <cell r="E243">
            <v>1099249</v>
          </cell>
        </row>
        <row r="244">
          <cell r="D244">
            <v>461894</v>
          </cell>
          <cell r="E244">
            <v>488591</v>
          </cell>
        </row>
        <row r="245">
          <cell r="A245" t="str">
            <v xml:space="preserve">  - налог на имущ, по неиспольз.объектам Ангрен</v>
          </cell>
        </row>
        <row r="247">
          <cell r="D247">
            <v>12075802</v>
          </cell>
          <cell r="E247">
            <v>8100998</v>
          </cell>
        </row>
        <row r="248">
          <cell r="D248">
            <v>1431822</v>
          </cell>
          <cell r="E248">
            <v>1269854</v>
          </cell>
        </row>
        <row r="249">
          <cell r="D249">
            <v>269354</v>
          </cell>
          <cell r="E249">
            <v>300074</v>
          </cell>
        </row>
        <row r="250">
          <cell r="D250">
            <v>3914040</v>
          </cell>
          <cell r="E250">
            <v>3853206</v>
          </cell>
        </row>
        <row r="253">
          <cell r="E253">
            <v>2052181</v>
          </cell>
        </row>
        <row r="288">
          <cell r="D288">
            <v>1815623</v>
          </cell>
          <cell r="E288">
            <v>12714997</v>
          </cell>
        </row>
        <row r="295">
          <cell r="D295">
            <v>33709.116347823292</v>
          </cell>
        </row>
      </sheetData>
      <sheetData sheetId="3"/>
      <sheetData sheetId="4"/>
      <sheetData sheetId="5"/>
      <sheetData sheetId="6">
        <row r="60">
          <cell r="B60">
            <v>198228440</v>
          </cell>
        </row>
        <row r="61">
          <cell r="B61">
            <v>23787407</v>
          </cell>
        </row>
        <row r="62">
          <cell r="B62">
            <v>135690602</v>
          </cell>
        </row>
        <row r="65">
          <cell r="B65">
            <v>23342850.135652173</v>
          </cell>
        </row>
        <row r="104">
          <cell r="B104">
            <v>860181669</v>
          </cell>
        </row>
        <row r="105">
          <cell r="B105">
            <v>632436962.33565211</v>
          </cell>
        </row>
        <row r="110">
          <cell r="B110">
            <v>5609266.5600000005</v>
          </cell>
        </row>
        <row r="126">
          <cell r="B126">
            <v>51740456.039999999</v>
          </cell>
        </row>
        <row r="197">
          <cell r="B197">
            <v>69772029</v>
          </cell>
        </row>
        <row r="243">
          <cell r="B243">
            <v>944813</v>
          </cell>
        </row>
        <row r="244">
          <cell r="B244">
            <v>924099</v>
          </cell>
        </row>
        <row r="247">
          <cell r="B247">
            <v>27625130</v>
          </cell>
        </row>
        <row r="248">
          <cell r="B248">
            <v>2885866</v>
          </cell>
        </row>
        <row r="249">
          <cell r="B249">
            <v>538577</v>
          </cell>
        </row>
        <row r="250">
          <cell r="B250">
            <v>7870367</v>
          </cell>
        </row>
        <row r="288">
          <cell r="B288">
            <v>3462915</v>
          </cell>
        </row>
        <row r="298">
          <cell r="B298">
            <v>12878.367452173494</v>
          </cell>
        </row>
      </sheetData>
      <sheetData sheetId="7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"/>
      <sheetName val="2 квартал"/>
      <sheetName val="1полугодие"/>
      <sheetName val="3 квартал"/>
      <sheetName val="9месяцев"/>
      <sheetName val="4квартал "/>
      <sheetName val="Год"/>
      <sheetName val="Год по 2форме"/>
      <sheetName val="со спецнадб"/>
      <sheetName val="Лист1"/>
    </sheetNames>
    <sheetDataSet>
      <sheetData sheetId="0">
        <row r="243">
          <cell r="B243">
            <v>1218884</v>
          </cell>
        </row>
      </sheetData>
      <sheetData sheetId="1" refreshError="1"/>
      <sheetData sheetId="2" refreshError="1"/>
      <sheetData sheetId="3" refreshError="1"/>
      <sheetData sheetId="4">
        <row r="14">
          <cell r="F14">
            <v>156097.29999999999</v>
          </cell>
        </row>
        <row r="16">
          <cell r="B16">
            <v>261624449</v>
          </cell>
        </row>
        <row r="60">
          <cell r="B60">
            <v>141863310</v>
          </cell>
        </row>
        <row r="61">
          <cell r="B61">
            <v>17023593</v>
          </cell>
        </row>
        <row r="62">
          <cell r="B62">
            <v>109007263</v>
          </cell>
        </row>
        <row r="65">
          <cell r="B65">
            <v>16097515.875399999</v>
          </cell>
        </row>
        <row r="104">
          <cell r="B104">
            <v>783069513</v>
          </cell>
        </row>
        <row r="105">
          <cell r="B105">
            <v>545616162.35399997</v>
          </cell>
        </row>
        <row r="110">
          <cell r="B110">
            <v>4006408.2800000003</v>
          </cell>
        </row>
        <row r="126">
          <cell r="B126">
            <v>41318372.400000006</v>
          </cell>
        </row>
        <row r="197">
          <cell r="B197">
            <v>59806545.600000001</v>
          </cell>
        </row>
        <row r="243">
          <cell r="B243">
            <v>1254873</v>
          </cell>
        </row>
        <row r="244">
          <cell r="B244">
            <v>547877</v>
          </cell>
        </row>
        <row r="247">
          <cell r="B247">
            <v>25890863</v>
          </cell>
        </row>
        <row r="248">
          <cell r="B248">
            <v>1879355</v>
          </cell>
        </row>
        <row r="249">
          <cell r="B249">
            <v>429894</v>
          </cell>
        </row>
        <row r="250">
          <cell r="B250">
            <v>5599917</v>
          </cell>
        </row>
        <row r="288">
          <cell r="B288">
            <v>891016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за 1 квартал  2020г. "/>
      <sheetName val="за 1 полугодие 20 г."/>
      <sheetName val="9месяцев 2020 г. для давлат акт"/>
      <sheetName val="9месяцев 2020 г. с зат.по виду"/>
      <sheetName val="2020 г. для давлат (2"/>
      <sheetName val="2020 г. по зат.по виду"/>
    </sheetNames>
    <sheetDataSet>
      <sheetData sheetId="0">
        <row r="118">
          <cell r="B118" t="str">
            <v xml:space="preserve"> Обязательные отчисления во внебюджетный Пенсионный Фонд (ст.12,ст.15)</v>
          </cell>
        </row>
      </sheetData>
      <sheetData sheetId="1"/>
      <sheetData sheetId="2"/>
      <sheetData sheetId="3"/>
      <sheetData sheetId="4">
        <row r="1">
          <cell r="A1" t="str">
            <v>О выполнении параметров Бизнес плана за  2020 год.</v>
          </cell>
        </row>
        <row r="11">
          <cell r="D11">
            <v>0</v>
          </cell>
          <cell r="E11">
            <v>0</v>
          </cell>
        </row>
        <row r="15">
          <cell r="E15">
            <v>0</v>
          </cell>
        </row>
        <row r="34">
          <cell r="D34">
            <v>0</v>
          </cell>
          <cell r="E34">
            <v>0</v>
          </cell>
        </row>
        <row r="36">
          <cell r="D36">
            <v>0</v>
          </cell>
          <cell r="E36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8">
          <cell r="D48">
            <v>0</v>
          </cell>
          <cell r="E48">
            <v>0</v>
          </cell>
        </row>
        <row r="49">
          <cell r="D49" t="e">
            <v>#VALUE!</v>
          </cell>
          <cell r="E49" t="e">
            <v>#VALUE!</v>
          </cell>
        </row>
        <row r="50">
          <cell r="D50">
            <v>0</v>
          </cell>
          <cell r="E50">
            <v>0</v>
          </cell>
        </row>
        <row r="51">
          <cell r="D51" t="str">
            <v xml:space="preserve"> - </v>
          </cell>
          <cell r="E51" t="str">
            <v xml:space="preserve"> - 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 t="str">
            <v xml:space="preserve"> - </v>
          </cell>
          <cell r="E55" t="str">
            <v xml:space="preserve"> - 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4">
          <cell r="E94">
            <v>0</v>
          </cell>
        </row>
        <row r="95">
          <cell r="E95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25">
          <cell r="E125">
            <v>0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"/>
      <sheetName val="2 квартал"/>
      <sheetName val="1полугодие"/>
      <sheetName val="3 квартал"/>
      <sheetName val="9месяцев"/>
      <sheetName val="4квартал "/>
      <sheetName val="Год"/>
      <sheetName val="со спец надб"/>
    </sheetNames>
    <sheetDataSet>
      <sheetData sheetId="0"/>
      <sheetData sheetId="1"/>
      <sheetData sheetId="2">
        <row r="197">
          <cell r="C197">
            <v>38478755</v>
          </cell>
        </row>
        <row r="288">
          <cell r="C288">
            <v>160447870</v>
          </cell>
        </row>
        <row r="294">
          <cell r="C294">
            <v>3504416</v>
          </cell>
        </row>
        <row r="298">
          <cell r="C298">
            <v>849669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 со спец надбавкой"/>
      <sheetName val="1-полугодие дактив."/>
      <sheetName val="1 кв без спец надбавки"/>
      <sheetName val="1-полугод 2023 г.спец.надб."/>
      <sheetName val="1 полугодие"/>
      <sheetName val="9 месяцев 22 года."/>
      <sheetName val="9 мес.21 г (с надб)"/>
      <sheetName val="2022 г. "/>
      <sheetName val="2021 г. давлат активлари"/>
      <sheetName val="за 1 полугодие 20 г."/>
      <sheetName val="9месяцев 2020 г. для давлат акт"/>
      <sheetName val="9месяцев 2020 г. с зат.по виду"/>
      <sheetName val="2020 г. для давлат (2"/>
      <sheetName val="2020 г. по зат.по виду"/>
      <sheetName val="1-полугод 2023 г. без.сп.над "/>
      <sheetName val="9МЕС.СО СПЕЦ.НАДБАВКИ"/>
      <sheetName val="12.МЕС.СО СПЕЦ.НАДБАВКИ (2)"/>
      <sheetName val="9МЕС БЕЗ СПЕЦ.НАДБ."/>
      <sheetName val="Лист4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E21">
            <v>6284.2309999999998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56">
          <cell r="E156">
            <v>0</v>
          </cell>
        </row>
      </sheetData>
      <sheetData sheetId="15" refreshError="1"/>
      <sheetData sheetId="16"/>
      <sheetData sheetId="17">
        <row r="33">
          <cell r="H33">
            <v>-28876.72099999999</v>
          </cell>
        </row>
      </sheetData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за 1 квартал  2019г. "/>
      <sheetName val="за 1 полугодие 19 г."/>
      <sheetName val="за 9 месяцев 2019г."/>
      <sheetName val="2019"/>
      <sheetName val="черновик для бух."/>
      <sheetName val="зачерновик"/>
      <sheetName val="Лист1"/>
    </sheetNames>
    <sheetDataSet>
      <sheetData sheetId="0"/>
      <sheetData sheetId="1"/>
      <sheetData sheetId="2"/>
      <sheetData sheetId="3">
        <row r="164">
          <cell r="G164" t="str">
            <v>Бегматов  Ш.Т.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за 1 квартал  2019г. "/>
      <sheetName val="за 1 полугодие 19 г."/>
      <sheetName val="за 9 месяцев 2019г."/>
      <sheetName val="2019"/>
      <sheetName val="черновик для бух."/>
      <sheetName val="зачерновик"/>
      <sheetName val="Лист1"/>
    </sheetNames>
    <sheetDataSet>
      <sheetData sheetId="0"/>
      <sheetData sheetId="1"/>
      <sheetData sheetId="2"/>
      <sheetData sheetId="3">
        <row r="166">
          <cell r="B166" t="str">
            <v xml:space="preserve">Начальник  финансового  отдела </v>
          </cell>
        </row>
        <row r="168">
          <cell r="B168" t="str">
            <v>Начальник ОЭАиП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за 1 квартал  2019г. "/>
      <sheetName val="за 1 полугодие 19 г."/>
      <sheetName val="за 9 месяцев 2019г."/>
      <sheetName val="2019"/>
      <sheetName val="черновик для бух."/>
      <sheetName val="зачерновик"/>
      <sheetName val="Лист1"/>
    </sheetNames>
    <sheetDataSet>
      <sheetData sheetId="0"/>
      <sheetData sheetId="1"/>
      <sheetData sheetId="2"/>
      <sheetData sheetId="3">
        <row r="164">
          <cell r="G164" t="str">
            <v>Бегматов  Ш.Т.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за 1 квартал  2019г. "/>
      <sheetName val="за 1 полугодие 19 г."/>
      <sheetName val="за 9 месяцев 2019г."/>
      <sheetName val="2019"/>
      <sheetName val="черновик для бух."/>
      <sheetName val="зачерновик"/>
      <sheetName val="Лист1"/>
    </sheetNames>
    <sheetDataSet>
      <sheetData sheetId="0"/>
      <sheetData sheetId="1"/>
      <sheetData sheetId="2"/>
      <sheetData sheetId="3">
        <row r="166">
          <cell r="B166" t="str">
            <v xml:space="preserve">Начальник  финансового  отдела </v>
          </cell>
        </row>
        <row r="168">
          <cell r="B168" t="str">
            <v>Начальник ОЭАиП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 со спец надбавкой"/>
      <sheetName val="1-полугодие дактив."/>
      <sheetName val="1 кв без спец надбавки"/>
      <sheetName val="1-полугод 2024 г.спец.надб."/>
      <sheetName val="1-полугод 2023 г.спец.надб."/>
      <sheetName val="1 полугодие"/>
      <sheetName val="9 месяцев 22 года."/>
      <sheetName val="9 мес.21 г (с надб)"/>
      <sheetName val="2022 г. "/>
      <sheetName val="2021 г. давлат активлари"/>
      <sheetName val="за 1 полугодие 20 г."/>
      <sheetName val="9месяцев 2020 г. для давлат акт"/>
      <sheetName val="9месяцев 2020 г. с зат.по виду"/>
      <sheetName val="2020 г. для давлат (2"/>
      <sheetName val="2020 г. по зат.по виду"/>
      <sheetName val="1-полугод 2023 г. без.сп.над "/>
      <sheetName val="9МЕС.СО СПЕЦ.НАДБАВКИ"/>
      <sheetName val="12.МЕС.СО СПЕЦ.НАДБАВКой"/>
      <sheetName val="9МЕС БЕЗ СПЕЦ.НАДБ."/>
      <sheetName val="12.МЕС.СО СПЕЦ.НАДБАВКИ (2)"/>
      <sheetName val="12.МЕС.без СПЕЦ.НАДБ."/>
      <sheetName val="Лист4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56">
          <cell r="E156">
            <v>0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Лист2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11">
          <cell r="C211">
            <v>610941</v>
          </cell>
          <cell r="D211">
            <v>593637</v>
          </cell>
          <cell r="E211">
            <v>607849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2">
          <cell r="C72">
            <v>57887775</v>
          </cell>
          <cell r="E72">
            <v>54011600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 со спец надбавкой"/>
      <sheetName val="1-полугодие дактив."/>
      <sheetName val="1 кв без спец надбавки"/>
      <sheetName val="1-полугод 2023 г.спец.надб."/>
      <sheetName val="1 полугодие"/>
      <sheetName val="9 месяцев 22 года."/>
      <sheetName val="9 мес.21 г (с надб)"/>
      <sheetName val="2022 г. "/>
      <sheetName val="2021 г. давлат активлари"/>
      <sheetName val="за 1 полугодие 20 г."/>
      <sheetName val="9месяцев 2020 г. для давлат акт"/>
      <sheetName val="9месяцев 2020 г. с зат.по виду"/>
      <sheetName val="2020 г. для давлат (2"/>
      <sheetName val="2020 г. по зат.по виду"/>
      <sheetName val="1-полугод 2023 г. без.сп.над "/>
      <sheetName val="9МЕС.СО СПЕЦ.НАДБАВКИ"/>
      <sheetName val="12.МЕС.СО СПЕЦ.НАДБАВКИ (2)"/>
      <sheetName val="9МЕС БЕЗ СПЕЦ.НАДБ."/>
      <sheetName val="Лист4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E21">
            <v>6284.2309999999998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56">
          <cell r="E156">
            <v>0</v>
          </cell>
        </row>
      </sheetData>
      <sheetData sheetId="15" refreshError="1"/>
      <sheetData sheetId="16"/>
      <sheetData sheetId="17">
        <row r="33">
          <cell r="H33">
            <v>-28876.72099999999</v>
          </cell>
        </row>
      </sheetData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МТСиСС"/>
      <sheetName val="мтс и сс (2)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10">
          <cell r="C210">
            <v>8774291</v>
          </cell>
          <cell r="D210">
            <v>9608679</v>
          </cell>
        </row>
        <row r="211">
          <cell r="C211">
            <v>753568</v>
          </cell>
          <cell r="D211">
            <v>823320</v>
          </cell>
        </row>
        <row r="212">
          <cell r="C212">
            <v>264515</v>
          </cell>
          <cell r="D212">
            <v>266242</v>
          </cell>
        </row>
        <row r="213">
          <cell r="C213">
            <v>2500265</v>
          </cell>
          <cell r="D213">
            <v>2500265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0"/>
  <sheetViews>
    <sheetView showZeros="0" view="pageBreakPreview" zoomScale="90" zoomScaleNormal="100" zoomScaleSheetLayoutView="90" workbookViewId="0">
      <pane ySplit="3" topLeftCell="A4" activePane="bottomLeft" state="frozen"/>
      <selection activeCell="S5" sqref="S5"/>
      <selection pane="bottomLeft" activeCell="S21" sqref="S21"/>
    </sheetView>
  </sheetViews>
  <sheetFormatPr defaultRowHeight="12.75" outlineLevelRow="2" outlineLevelCol="1"/>
  <cols>
    <col min="1" max="1" width="6.14062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4" width="9.140625" hidden="1" customWidth="1" outlineLevel="1"/>
    <col min="15" max="15" width="9.140625" collapsed="1"/>
  </cols>
  <sheetData>
    <row r="1" spans="1:10" ht="48" customHeight="1">
      <c r="A1" s="282" t="s">
        <v>293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290</v>
      </c>
      <c r="E2" s="289"/>
      <c r="F2" s="289"/>
      <c r="G2" s="289"/>
      <c r="H2" s="290" t="s">
        <v>291</v>
      </c>
      <c r="I2" s="288" t="s">
        <v>3</v>
      </c>
    </row>
    <row r="3" spans="1:10" ht="22.5" customHeight="1">
      <c r="A3" s="286"/>
      <c r="B3" s="287"/>
      <c r="C3" s="287"/>
      <c r="D3" s="206" t="s">
        <v>4</v>
      </c>
      <c r="E3" s="205" t="s">
        <v>5</v>
      </c>
      <c r="F3" s="205" t="s">
        <v>6</v>
      </c>
      <c r="G3" s="205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5">
        <f>D7+D8+D9</f>
        <v>1140.636</v>
      </c>
      <c r="E5" s="5">
        <f>E7+E8+E9</f>
        <v>1140.636</v>
      </c>
      <c r="F5" s="5">
        <f>ROUND(E5/D5*100,1)</f>
        <v>100</v>
      </c>
      <c r="G5" s="5">
        <f>E5-D5</f>
        <v>0</v>
      </c>
      <c r="H5" s="6">
        <v>891.62670000000003</v>
      </c>
      <c r="I5" s="6">
        <f>IF(H5&gt;0,ROUND(E5/H5*100,1),0)</f>
        <v>127.9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/>
      <c r="I6" s="7"/>
    </row>
    <row r="7" spans="1:10" ht="15.75">
      <c r="A7" s="7"/>
      <c r="B7" s="218" t="s">
        <v>13</v>
      </c>
      <c r="C7" s="7" t="s">
        <v>11</v>
      </c>
      <c r="D7" s="34">
        <f>E7</f>
        <v>1037.2159999999999</v>
      </c>
      <c r="E7" s="34">
        <v>1037.2159999999999</v>
      </c>
      <c r="F7" s="34">
        <f>ROUND(E7/D7*100,1)</f>
        <v>100</v>
      </c>
      <c r="G7" s="34">
        <f>E7-D7</f>
        <v>0</v>
      </c>
      <c r="H7" s="34">
        <v>840.08370000000002</v>
      </c>
      <c r="I7" s="9">
        <f>IF(H7&gt;0,ROUND(E7/H7*100,1),0)</f>
        <v>123.5</v>
      </c>
    </row>
    <row r="8" spans="1:10" ht="15.75">
      <c r="A8" s="7"/>
      <c r="B8" s="218" t="s">
        <v>14</v>
      </c>
      <c r="C8" s="7" t="s">
        <v>11</v>
      </c>
      <c r="D8" s="34">
        <f>E8</f>
        <v>15.063000000000001</v>
      </c>
      <c r="E8" s="34">
        <v>15.063000000000001</v>
      </c>
      <c r="F8" s="34">
        <f>ROUND(E8/D8*100,1)</f>
        <v>100</v>
      </c>
      <c r="G8" s="34">
        <f>E8-D8</f>
        <v>0</v>
      </c>
      <c r="H8" s="34">
        <v>15.339</v>
      </c>
      <c r="I8" s="9">
        <f>IF(H8&gt;0,ROUND(E8/H8*100,1),0)</f>
        <v>98.2</v>
      </c>
    </row>
    <row r="9" spans="1:10" ht="15.75">
      <c r="A9" s="7"/>
      <c r="B9" s="218" t="s">
        <v>15</v>
      </c>
      <c r="C9" s="7" t="s">
        <v>11</v>
      </c>
      <c r="D9" s="34">
        <f>E9</f>
        <v>88.356999999999999</v>
      </c>
      <c r="E9" s="34">
        <v>88.356999999999999</v>
      </c>
      <c r="F9" s="34">
        <f>ROUND(E9/D9*100,1)</f>
        <v>100</v>
      </c>
      <c r="G9" s="34">
        <f>E9-D9</f>
        <v>0</v>
      </c>
      <c r="H9" s="34">
        <v>36.204000000000001</v>
      </c>
      <c r="I9" s="9">
        <f>IF(H9&gt;0,ROUND(E9/H9*100,1),0)</f>
        <v>244.1</v>
      </c>
    </row>
    <row r="10" spans="1:10" ht="15.75">
      <c r="A10" s="7" t="s">
        <v>16</v>
      </c>
      <c r="B10" s="217" t="s">
        <v>17</v>
      </c>
      <c r="C10" s="10" t="s">
        <v>11</v>
      </c>
      <c r="D10" s="6">
        <f>D12+D13</f>
        <v>187</v>
      </c>
      <c r="E10" s="6">
        <f>E12+E13</f>
        <v>118.47</v>
      </c>
      <c r="F10" s="5">
        <f>ROUND(E10/D10*100,1)</f>
        <v>63.4</v>
      </c>
      <c r="G10" s="5">
        <f>E10-D10</f>
        <v>-68.53</v>
      </c>
      <c r="H10" s="6">
        <v>21.302599999999998</v>
      </c>
      <c r="I10" s="268">
        <f t="shared" ref="I10:I28" si="0">IF(H10&gt;0,ROUND(E10/H10*100,1),0)</f>
        <v>556.1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115</v>
      </c>
      <c r="E12" s="34">
        <v>63.594000000000001</v>
      </c>
      <c r="F12" s="34">
        <f>ROUND(E12/D12*100,1)</f>
        <v>55.3</v>
      </c>
      <c r="G12" s="34">
        <f>E12-D12</f>
        <v>-51.405999999999999</v>
      </c>
      <c r="H12" s="34">
        <v>15.2746</v>
      </c>
      <c r="I12" s="9">
        <f t="shared" si="0"/>
        <v>416.3</v>
      </c>
    </row>
    <row r="13" spans="1:10" ht="15.75">
      <c r="A13" s="7"/>
      <c r="B13" s="218" t="s">
        <v>19</v>
      </c>
      <c r="C13" s="7" t="s">
        <v>11</v>
      </c>
      <c r="D13" s="34">
        <v>72</v>
      </c>
      <c r="E13" s="34">
        <v>54.875999999999998</v>
      </c>
      <c r="F13" s="34">
        <f>ROUND(E13/D13*100,1)</f>
        <v>76.2</v>
      </c>
      <c r="G13" s="34">
        <f>E13-D13</f>
        <v>-17.124000000000002</v>
      </c>
      <c r="H13" s="34">
        <v>6.0279999999999996</v>
      </c>
      <c r="I13" s="9">
        <f t="shared" si="0"/>
        <v>910.4</v>
      </c>
    </row>
    <row r="14" spans="1:10" ht="15.75">
      <c r="A14" s="7" t="s">
        <v>20</v>
      </c>
      <c r="B14" s="217" t="s">
        <v>21</v>
      </c>
      <c r="C14" s="89" t="s">
        <v>11</v>
      </c>
      <c r="D14" s="5">
        <f>D16+D17+D18</f>
        <v>1690.3049999999998</v>
      </c>
      <c r="E14" s="5">
        <f>E16+E17+E18</f>
        <v>1690.3049999999998</v>
      </c>
      <c r="F14" s="5">
        <f>ROUND(E14/D14*100,1)</f>
        <v>100</v>
      </c>
      <c r="G14" s="5">
        <f>E14-D14</f>
        <v>0</v>
      </c>
      <c r="H14" s="6">
        <v>1274.73</v>
      </c>
      <c r="I14" s="268">
        <f t="shared" si="0"/>
        <v>132.6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f>E16</f>
        <v>1340.3</v>
      </c>
      <c r="E16" s="34">
        <v>1340.3</v>
      </c>
      <c r="F16" s="34">
        <f>ROUND(E16/D16*100,1)</f>
        <v>100</v>
      </c>
      <c r="G16" s="34">
        <f>E16-D16</f>
        <v>0</v>
      </c>
      <c r="H16" s="34">
        <v>1090.201</v>
      </c>
      <c r="I16" s="9">
        <f t="shared" si="0"/>
        <v>122.9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f>E17</f>
        <v>15.124000000000001</v>
      </c>
      <c r="E17" s="34">
        <v>15.124000000000001</v>
      </c>
      <c r="F17" s="34">
        <f>ROUND(E17/D17*100,1)</f>
        <v>100</v>
      </c>
      <c r="G17" s="34">
        <f>E17-D17</f>
        <v>0</v>
      </c>
      <c r="H17" s="34">
        <v>15.180999999999999</v>
      </c>
      <c r="I17" s="9">
        <f t="shared" si="0"/>
        <v>99.6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f>E18</f>
        <v>334.88099999999997</v>
      </c>
      <c r="E18" s="34">
        <v>334.88099999999997</v>
      </c>
      <c r="F18" s="34">
        <f>ROUND(E18/D18*100,1)</f>
        <v>100</v>
      </c>
      <c r="G18" s="34">
        <f>E18-D18</f>
        <v>0</v>
      </c>
      <c r="H18" s="18">
        <v>169.34800000000001</v>
      </c>
      <c r="I18" s="9">
        <f t="shared" si="0"/>
        <v>197.7</v>
      </c>
    </row>
    <row r="19" spans="1:12" ht="18.75">
      <c r="A19" s="7" t="s">
        <v>23</v>
      </c>
      <c r="B19" s="217" t="s">
        <v>24</v>
      </c>
      <c r="C19" s="89" t="s">
        <v>25</v>
      </c>
      <c r="D19" s="5">
        <f>D21+D22+D23+D24</f>
        <v>7468.5069999999996</v>
      </c>
      <c r="E19" s="5">
        <f>E21+E22+E23+E24</f>
        <v>7468.5069999999996</v>
      </c>
      <c r="F19" s="5">
        <f>ROUND(E19/D19*100,1)</f>
        <v>100</v>
      </c>
      <c r="G19" s="5">
        <f>E19-D19</f>
        <v>0</v>
      </c>
      <c r="H19" s="6">
        <v>4568.5010000000002</v>
      </c>
      <c r="I19" s="9">
        <f t="shared" si="0"/>
        <v>163.5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f>E21</f>
        <v>1299.922</v>
      </c>
      <c r="E21" s="34">
        <v>1299.922</v>
      </c>
      <c r="F21" s="34">
        <f>ROUND(E21/D21*100,1)</f>
        <v>100</v>
      </c>
      <c r="G21" s="34">
        <f t="shared" ref="G21:G31" si="1">E21-D21</f>
        <v>0</v>
      </c>
      <c r="H21" s="34">
        <v>950.57299999999998</v>
      </c>
      <c r="I21" s="9">
        <f t="shared" si="0"/>
        <v>136.80000000000001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f>E22</f>
        <v>6168.585</v>
      </c>
      <c r="E22" s="34">
        <v>6168.585</v>
      </c>
      <c r="F22" s="34">
        <f>ROUND(E22/D22*100,1)</f>
        <v>100</v>
      </c>
      <c r="G22" s="34">
        <f t="shared" si="1"/>
        <v>0</v>
      </c>
      <c r="H22" s="34">
        <v>3617.9279999999999</v>
      </c>
      <c r="I22" s="9">
        <f t="shared" si="0"/>
        <v>170.5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>
        <v>0</v>
      </c>
      <c r="E24" s="195">
        <v>0</v>
      </c>
      <c r="F24" s="195">
        <v>0</v>
      </c>
      <c r="G24" s="195">
        <v>0</v>
      </c>
      <c r="H24" s="195">
        <v>0</v>
      </c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255</v>
      </c>
      <c r="E25" s="18">
        <v>756</v>
      </c>
      <c r="F25" s="18">
        <f t="shared" ref="F25:F29" si="2">ROUND(E25/D25*100,1)</f>
        <v>296.5</v>
      </c>
      <c r="G25" s="18">
        <f t="shared" si="1"/>
        <v>501</v>
      </c>
      <c r="H25" s="18">
        <v>366</v>
      </c>
      <c r="I25" s="9">
        <f t="shared" si="0"/>
        <v>206.6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283903.98800000001</v>
      </c>
      <c r="E26" s="18">
        <v>279018.72499999998</v>
      </c>
      <c r="F26" s="18">
        <f t="shared" si="2"/>
        <v>98.3</v>
      </c>
      <c r="G26" s="18">
        <f t="shared" si="1"/>
        <v>-4885.2630000000354</v>
      </c>
      <c r="H26" s="18">
        <v>214856.728</v>
      </c>
      <c r="I26" s="18">
        <f t="shared" si="0"/>
        <v>129.9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159.77699999999999</v>
      </c>
      <c r="E27" s="195">
        <v>0</v>
      </c>
      <c r="F27" s="195">
        <v>0</v>
      </c>
      <c r="G27" s="18">
        <f>E27-D27</f>
        <v>-159.77699999999999</v>
      </c>
      <c r="H27" s="18"/>
      <c r="I27" s="195">
        <v>0</v>
      </c>
      <c r="J27" t="s">
        <v>22</v>
      </c>
      <c r="K27"/>
    </row>
    <row r="28" spans="1:12" ht="31.5">
      <c r="A28" s="7" t="s">
        <v>39</v>
      </c>
      <c r="B28" s="219" t="s">
        <v>40</v>
      </c>
      <c r="C28" s="18" t="s">
        <v>37</v>
      </c>
      <c r="D28" s="18">
        <v>20213</v>
      </c>
      <c r="E28" s="18">
        <v>35243.396999999997</v>
      </c>
      <c r="F28" s="18">
        <f t="shared" si="2"/>
        <v>174.4</v>
      </c>
      <c r="G28" s="18">
        <f t="shared" si="1"/>
        <v>15030.396999999997</v>
      </c>
      <c r="H28" s="18">
        <v>19698.128000000001</v>
      </c>
      <c r="I28" s="9">
        <f t="shared" si="0"/>
        <v>178.9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1590.5</v>
      </c>
      <c r="E29" s="18">
        <v>1660.8</v>
      </c>
      <c r="F29" s="18">
        <f t="shared" si="2"/>
        <v>104.4</v>
      </c>
      <c r="G29" s="18">
        <f t="shared" si="1"/>
        <v>70.299999999999955</v>
      </c>
      <c r="H29" s="18">
        <v>1486.2</v>
      </c>
      <c r="I29" s="9">
        <f>IF(H29&gt;0,ROUND(E29/H29*100,1),0)</f>
        <v>111.7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47</v>
      </c>
      <c r="B32" s="219" t="s">
        <v>48</v>
      </c>
      <c r="C32" s="18" t="s">
        <v>37</v>
      </c>
      <c r="D32" s="23"/>
      <c r="E32" s="23"/>
      <c r="F32" s="23"/>
      <c r="G32" s="23"/>
      <c r="H32" s="18"/>
      <c r="I32" s="18">
        <f>IF(H32&gt;0,ROUND(E32/H32*100,1),0)</f>
        <v>0</v>
      </c>
    </row>
    <row r="33" spans="1:10" ht="15.75">
      <c r="A33" s="7" t="s">
        <v>49</v>
      </c>
      <c r="B33" s="217" t="s">
        <v>50</v>
      </c>
      <c r="C33" s="18" t="s">
        <v>37</v>
      </c>
      <c r="D33" s="26">
        <f>D35+D39+D40+D41+D42+D43+D45+D44</f>
        <v>46384.172573999997</v>
      </c>
      <c r="E33" s="26">
        <f>E35+E39+E40+E41+E42+E43+E45+E44</f>
        <v>57603.547004999979</v>
      </c>
      <c r="F33" s="26"/>
      <c r="G33" s="26">
        <f t="shared" ref="G33:G44" si="3">E33-D33</f>
        <v>11219.374430999982</v>
      </c>
      <c r="H33" s="26">
        <f>H35+H39+H40+H41+H42+H43+H45+H44</f>
        <v>13685.97200000002</v>
      </c>
      <c r="I33" s="26">
        <f>IF(H33&gt;0,ROUND(E33/H33*100,1),0)</f>
        <v>420.9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3"/>
        <v>0</v>
      </c>
      <c r="H34" s="28"/>
      <c r="I34" s="28"/>
    </row>
    <row r="35" spans="1:10" ht="15.75">
      <c r="A35" s="34"/>
      <c r="B35" s="223" t="s">
        <v>53</v>
      </c>
      <c r="C35" s="18" t="s">
        <v>37</v>
      </c>
      <c r="D35" s="28">
        <f>D37+D38</f>
        <v>473.12057399998986</v>
      </c>
      <c r="E35" s="28">
        <f>E37+E38</f>
        <v>4956.773057999977</v>
      </c>
      <c r="F35" s="28">
        <f t="shared" ref="F35:F39" si="4">ROUND(E35/D35*100,1)</f>
        <v>1047.7</v>
      </c>
      <c r="G35" s="27">
        <f t="shared" si="3"/>
        <v>4483.6524839999875</v>
      </c>
      <c r="H35" s="28">
        <v>-20370.228999999981</v>
      </c>
      <c r="I35" s="18">
        <f>IF(H35&gt;0,ROUND(E35/H35*100,1),0)</f>
        <v>0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8"/>
      <c r="E36" s="28"/>
      <c r="F36" s="28"/>
      <c r="G36" s="27">
        <f t="shared" si="3"/>
        <v>0</v>
      </c>
      <c r="H36" s="28"/>
      <c r="I36" s="18"/>
    </row>
    <row r="37" spans="1:10" ht="15.75">
      <c r="A37" s="34"/>
      <c r="B37" s="224" t="s">
        <v>55</v>
      </c>
      <c r="C37" s="18" t="s">
        <v>37</v>
      </c>
      <c r="D37" s="28">
        <f>D96</f>
        <v>473.12057399998986</v>
      </c>
      <c r="E37" s="28">
        <f>E92</f>
        <v>4956.773057999977</v>
      </c>
      <c r="F37" s="28">
        <f t="shared" si="4"/>
        <v>1047.7</v>
      </c>
      <c r="G37" s="27">
        <f t="shared" si="3"/>
        <v>4483.6524839999875</v>
      </c>
      <c r="H37" s="28">
        <v>-20370.228999999981</v>
      </c>
      <c r="I37" s="18">
        <f>IF(H37&gt;0,ROUND(E37/H37*100,1),0)</f>
        <v>0</v>
      </c>
    </row>
    <row r="38" spans="1:10" ht="15.75">
      <c r="A38" s="34"/>
      <c r="B38" s="224" t="s">
        <v>56</v>
      </c>
      <c r="C38" s="18" t="s">
        <v>37</v>
      </c>
      <c r="D38" s="27">
        <v>0</v>
      </c>
      <c r="E38" s="28">
        <v>0</v>
      </c>
      <c r="F38" s="28"/>
      <c r="G38" s="27">
        <f t="shared" si="3"/>
        <v>0</v>
      </c>
      <c r="H38" s="28">
        <v>0</v>
      </c>
      <c r="I38" s="18"/>
    </row>
    <row r="39" spans="1:10" ht="15.75">
      <c r="A39" s="34"/>
      <c r="B39" s="223" t="s">
        <v>57</v>
      </c>
      <c r="C39" s="18" t="s">
        <v>37</v>
      </c>
      <c r="D39" s="28">
        <f>D129</f>
        <v>45911.052000000003</v>
      </c>
      <c r="E39" s="28">
        <f>E129</f>
        <v>52646.773947000001</v>
      </c>
      <c r="F39" s="28">
        <f t="shared" si="4"/>
        <v>114.7</v>
      </c>
      <c r="G39" s="28">
        <f t="shared" si="3"/>
        <v>6735.7219469999982</v>
      </c>
      <c r="H39" s="28">
        <v>34056.201000000001</v>
      </c>
      <c r="I39" s="28">
        <f>IF(H39&gt;0,ROUND(E39/H39*100,1),0)</f>
        <v>154.6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3"/>
        <v>0</v>
      </c>
      <c r="H40" s="28"/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3"/>
        <v>0</v>
      </c>
      <c r="H41" s="28"/>
      <c r="I41" s="28">
        <f>IF(H41&gt;0,ROUND(E41/H41*100,1),0)</f>
        <v>0</v>
      </c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3"/>
        <v>0</v>
      </c>
      <c r="H42" s="18"/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3"/>
        <v>0</v>
      </c>
      <c r="H43" s="18"/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3"/>
        <v>0</v>
      </c>
      <c r="H44" s="18">
        <v>0</v>
      </c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18"/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67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0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0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0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0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0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0" ht="15.75" collapsed="1">
      <c r="A54" s="34" t="s">
        <v>76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0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0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0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0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0" ht="15.75">
      <c r="A59" s="34" t="s">
        <v>84</v>
      </c>
      <c r="B59" s="220" t="s">
        <v>85</v>
      </c>
      <c r="C59" s="18" t="s">
        <v>86</v>
      </c>
      <c r="D59" s="28">
        <v>6310</v>
      </c>
      <c r="E59" s="28">
        <v>5682</v>
      </c>
      <c r="F59" s="28">
        <f>ROUND(E59/D59*100,1)</f>
        <v>90</v>
      </c>
      <c r="G59" s="28">
        <f>E59-D59</f>
        <v>-628</v>
      </c>
      <c r="H59" s="28">
        <v>5608</v>
      </c>
      <c r="I59" s="28">
        <f t="shared" ref="I59:I64" si="5">IF(H59&gt;0,ROUND(E59/H59*100,1),0)</f>
        <v>101.3</v>
      </c>
      <c r="J59" t="s">
        <v>87</v>
      </c>
    </row>
    <row r="60" spans="1:10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5"/>
        <v>0</v>
      </c>
    </row>
    <row r="61" spans="1:10" ht="15.75" collapsed="1">
      <c r="A61" s="34" t="s">
        <v>91</v>
      </c>
      <c r="B61" s="220" t="s">
        <v>92</v>
      </c>
      <c r="C61" s="18" t="s">
        <v>37</v>
      </c>
      <c r="D61" s="33">
        <v>121817.8</v>
      </c>
      <c r="E61" s="33">
        <v>114052.6</v>
      </c>
      <c r="F61" s="28">
        <f>ROUND(E61/D61*100,1)</f>
        <v>93.6</v>
      </c>
      <c r="G61" s="28">
        <f>E61-D61</f>
        <v>-7765.1999999999971</v>
      </c>
      <c r="H61" s="33">
        <v>91562.5</v>
      </c>
      <c r="I61" s="28">
        <f t="shared" si="5"/>
        <v>124.6</v>
      </c>
      <c r="J61" t="s">
        <v>87</v>
      </c>
    </row>
    <row r="62" spans="1:10" ht="15.75">
      <c r="A62" s="34" t="s">
        <v>93</v>
      </c>
      <c r="B62" s="220" t="s">
        <v>94</v>
      </c>
      <c r="C62" s="18" t="s">
        <v>95</v>
      </c>
      <c r="D62" s="28">
        <v>6435.2</v>
      </c>
      <c r="E62" s="28">
        <v>6671</v>
      </c>
      <c r="F62" s="28">
        <f>ROUND(E62/D62*100,1)</f>
        <v>103.7</v>
      </c>
      <c r="G62" s="28">
        <f>E62-D62</f>
        <v>235.80000000000018</v>
      </c>
      <c r="H62" s="28">
        <v>5413.2</v>
      </c>
      <c r="I62" s="28">
        <f t="shared" si="5"/>
        <v>123.2</v>
      </c>
      <c r="J62" t="s">
        <v>87</v>
      </c>
    </row>
    <row r="63" spans="1:10" ht="15.75">
      <c r="A63" s="34" t="s">
        <v>96</v>
      </c>
      <c r="B63" s="220" t="s">
        <v>97</v>
      </c>
      <c r="C63" s="18" t="s">
        <v>37</v>
      </c>
      <c r="D63" s="18"/>
      <c r="E63" s="18">
        <v>2378849.4</v>
      </c>
      <c r="F63" s="28"/>
      <c r="G63" s="18"/>
      <c r="H63" s="18">
        <v>974242</v>
      </c>
      <c r="I63" s="18">
        <f t="shared" si="5"/>
        <v>244.2</v>
      </c>
      <c r="J63" t="s">
        <v>58</v>
      </c>
    </row>
    <row r="64" spans="1:10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58"/>
      <c r="I64" s="59">
        <f t="shared" si="5"/>
        <v>0</v>
      </c>
      <c r="J64" s="31"/>
    </row>
    <row r="65" spans="1:13" ht="15.75" collapsed="1">
      <c r="A65" s="34" t="s">
        <v>100</v>
      </c>
      <c r="B65" s="220" t="s">
        <v>101</v>
      </c>
      <c r="C65" s="18" t="s">
        <v>102</v>
      </c>
      <c r="D65" s="28">
        <v>317314.65000000002</v>
      </c>
      <c r="E65" s="28">
        <v>299597.7</v>
      </c>
      <c r="F65" s="28">
        <f>ROUND(E65/D65*100,1)</f>
        <v>94.4</v>
      </c>
      <c r="G65" s="28">
        <f>E65-D65</f>
        <v>-17716.950000000012</v>
      </c>
      <c r="H65" s="28">
        <v>200826.95</v>
      </c>
      <c r="I65" s="28">
        <f>ROUND(E65/H65*100,1)</f>
        <v>149.19999999999999</v>
      </c>
      <c r="J65" t="s">
        <v>103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107</v>
      </c>
      <c r="B70" s="220" t="s">
        <v>108</v>
      </c>
      <c r="C70" s="18" t="s">
        <v>37</v>
      </c>
      <c r="D70" s="28">
        <v>480546.935</v>
      </c>
      <c r="E70" s="28">
        <v>441222.27863399999</v>
      </c>
      <c r="F70" s="18">
        <f t="shared" ref="F70:F96" si="6">ROUND(E70/D70*100,1)</f>
        <v>91.8</v>
      </c>
      <c r="G70" s="18">
        <f>E70-D70</f>
        <v>-39324.65636600001</v>
      </c>
      <c r="H70" s="18">
        <v>367454.41499999998</v>
      </c>
      <c r="I70" s="18">
        <f t="shared" ref="I70:I85" si="7">ROUND(E70/H70*100,1)</f>
        <v>120.1</v>
      </c>
      <c r="J70" t="s">
        <v>103</v>
      </c>
    </row>
    <row r="71" spans="1:13" ht="15.75">
      <c r="A71" s="34" t="s">
        <v>109</v>
      </c>
      <c r="B71" s="220" t="s">
        <v>110</v>
      </c>
      <c r="C71" s="18" t="s">
        <v>37</v>
      </c>
      <c r="D71" s="28">
        <v>358940.429</v>
      </c>
      <c r="E71" s="28">
        <v>341376.69886900001</v>
      </c>
      <c r="F71" s="18">
        <f t="shared" si="6"/>
        <v>95.1</v>
      </c>
      <c r="G71" s="18">
        <f>E71-D71</f>
        <v>-17563.730130999989</v>
      </c>
      <c r="H71" s="18">
        <v>274142.908</v>
      </c>
      <c r="I71" s="18">
        <f t="shared" si="7"/>
        <v>124.5</v>
      </c>
      <c r="J71" t="s">
        <v>103</v>
      </c>
    </row>
    <row r="72" spans="1:13" ht="15.75">
      <c r="A72" s="34" t="s">
        <v>111</v>
      </c>
      <c r="B72" s="220" t="s">
        <v>112</v>
      </c>
      <c r="C72" s="18" t="s">
        <v>37</v>
      </c>
      <c r="D72" s="33">
        <f>D70-D71</f>
        <v>121606.50599999999</v>
      </c>
      <c r="E72" s="33">
        <f>E70-E71</f>
        <v>99845.579764999973</v>
      </c>
      <c r="F72" s="34">
        <f t="shared" si="6"/>
        <v>82.1</v>
      </c>
      <c r="G72" s="18">
        <f>E72-D72</f>
        <v>-21760.926235000021</v>
      </c>
      <c r="H72" s="34">
        <v>93311.506999999983</v>
      </c>
      <c r="I72" s="34">
        <f t="shared" si="7"/>
        <v>107</v>
      </c>
      <c r="J72" t="s">
        <v>103</v>
      </c>
      <c r="M72" s="11"/>
    </row>
    <row r="73" spans="1:13" ht="15.75">
      <c r="A73" s="34"/>
      <c r="B73" s="227" t="s">
        <v>113</v>
      </c>
      <c r="C73" s="18" t="s">
        <v>37</v>
      </c>
      <c r="D73" s="26">
        <f>D74+D75+D76</f>
        <v>63162.118560000003</v>
      </c>
      <c r="E73" s="6">
        <f>E74+E75+E76</f>
        <v>67707.797867999994</v>
      </c>
      <c r="F73" s="6">
        <f t="shared" si="6"/>
        <v>107.2</v>
      </c>
      <c r="G73" s="6">
        <f t="shared" ref="G73:G96" si="8">E73-D73</f>
        <v>4545.6793079999916</v>
      </c>
      <c r="H73" s="26">
        <v>63617.784</v>
      </c>
      <c r="I73" s="6">
        <f t="shared" si="7"/>
        <v>106.4</v>
      </c>
      <c r="J73" t="s">
        <v>103</v>
      </c>
      <c r="M73" s="11"/>
    </row>
    <row r="74" spans="1:13" ht="15.75">
      <c r="A74" s="34"/>
      <c r="B74" s="228" t="s">
        <v>114</v>
      </c>
      <c r="C74" s="18" t="s">
        <v>37</v>
      </c>
      <c r="D74" s="28">
        <v>1847.4780000000001</v>
      </c>
      <c r="E74" s="34">
        <v>3712.3567079999998</v>
      </c>
      <c r="F74" s="34">
        <f t="shared" si="6"/>
        <v>200.9</v>
      </c>
      <c r="G74" s="18">
        <f t="shared" si="8"/>
        <v>1864.8787079999997</v>
      </c>
      <c r="H74" s="34">
        <v>2573.4929999999999</v>
      </c>
      <c r="I74" s="34">
        <f t="shared" si="7"/>
        <v>144.30000000000001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20546.5452</v>
      </c>
      <c r="E75" s="18">
        <v>20068.046103000001</v>
      </c>
      <c r="F75" s="18">
        <f t="shared" si="6"/>
        <v>97.7</v>
      </c>
      <c r="G75" s="18">
        <f t="shared" si="8"/>
        <v>-478.49909699999989</v>
      </c>
      <c r="H75" s="18">
        <v>11995.152</v>
      </c>
      <c r="I75" s="18">
        <f t="shared" si="7"/>
        <v>167.3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40768.095359999999</v>
      </c>
      <c r="E76" s="18">
        <v>43927.395057000002</v>
      </c>
      <c r="F76" s="18">
        <f t="shared" si="6"/>
        <v>107.7</v>
      </c>
      <c r="G76" s="18">
        <f t="shared" si="8"/>
        <v>3159.2996970000022</v>
      </c>
      <c r="H76" s="18">
        <v>49049.139000000003</v>
      </c>
      <c r="I76" s="18">
        <f t="shared" si="7"/>
        <v>89.6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18">
        <v>20292.666916999999</v>
      </c>
      <c r="F77" s="18"/>
      <c r="G77" s="18">
        <f t="shared" si="8"/>
        <v>20292.666916999999</v>
      </c>
      <c r="H77" s="18">
        <v>3988.9720000000002</v>
      </c>
      <c r="I77" s="18">
        <f t="shared" si="7"/>
        <v>508.7</v>
      </c>
      <c r="J77" t="s">
        <v>103</v>
      </c>
    </row>
    <row r="78" spans="1:13" ht="15.75">
      <c r="A78" s="34"/>
      <c r="B78" s="220" t="s">
        <v>118</v>
      </c>
      <c r="C78" s="18" t="s">
        <v>37</v>
      </c>
      <c r="D78" s="28">
        <v>57887.775000000001</v>
      </c>
      <c r="E78" s="18">
        <v>47473.675755999997</v>
      </c>
      <c r="F78" s="18"/>
      <c r="G78" s="18">
        <f t="shared" si="8"/>
        <v>-10414.099244000005</v>
      </c>
      <c r="H78" s="18">
        <v>38229.18</v>
      </c>
      <c r="I78" s="18">
        <f t="shared" si="7"/>
        <v>124.2</v>
      </c>
      <c r="J78" t="s">
        <v>103</v>
      </c>
    </row>
    <row r="79" spans="1:13" ht="15.75" hidden="1" outlineLevel="1">
      <c r="A79" s="34"/>
      <c r="B79" s="220" t="s">
        <v>119</v>
      </c>
      <c r="C79" s="18" t="s">
        <v>37</v>
      </c>
      <c r="D79" s="33"/>
      <c r="E79" s="34"/>
      <c r="F79" s="18" t="e">
        <f t="shared" si="6"/>
        <v>#DIV/0!</v>
      </c>
      <c r="G79" s="18">
        <f t="shared" si="8"/>
        <v>0</v>
      </c>
      <c r="H79" s="58"/>
      <c r="I79" s="18" t="e">
        <f t="shared" si="7"/>
        <v>#DIV/0!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6"/>
        <v>#DIV/0!</v>
      </c>
      <c r="G80" s="18">
        <f t="shared" si="8"/>
        <v>0</v>
      </c>
      <c r="H80" s="58"/>
      <c r="I80" s="18" t="e">
        <f t="shared" si="7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6"/>
        <v>#DIV/0!</v>
      </c>
      <c r="G81" s="18">
        <f t="shared" si="8"/>
        <v>0</v>
      </c>
      <c r="H81" s="58"/>
      <c r="I81" s="18" t="e">
        <f t="shared" si="7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6"/>
        <v>#DIV/0!</v>
      </c>
      <c r="G82" s="18">
        <f t="shared" si="8"/>
        <v>0</v>
      </c>
      <c r="H82" s="58"/>
      <c r="I82" s="18" t="e">
        <f t="shared" si="7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6"/>
        <v>#DIV/0!</v>
      </c>
      <c r="G83" s="18">
        <f t="shared" si="8"/>
        <v>0</v>
      </c>
      <c r="H83" s="58"/>
      <c r="I83" s="18" t="e">
        <f t="shared" si="7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6"/>
        <v>#DIV/0!</v>
      </c>
      <c r="G84" s="18">
        <f t="shared" si="8"/>
        <v>0</v>
      </c>
      <c r="H84" s="58"/>
      <c r="I84" s="18" t="e">
        <f t="shared" si="7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6"/>
        <v>#DIV/0!</v>
      </c>
      <c r="G85" s="18">
        <f t="shared" si="8"/>
        <v>0</v>
      </c>
      <c r="H85" s="58"/>
      <c r="I85" s="18" t="e">
        <f t="shared" si="7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6"/>
        <v>#DIV/0!</v>
      </c>
      <c r="G86" s="18">
        <f t="shared" si="8"/>
        <v>0</v>
      </c>
      <c r="H86" s="58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6"/>
        <v>#DIV/0!</v>
      </c>
      <c r="G87" s="18">
        <f t="shared" si="8"/>
        <v>0</v>
      </c>
      <c r="H87" s="58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6"/>
        <v>#DIV/0!</v>
      </c>
      <c r="G88" s="18">
        <f t="shared" si="8"/>
        <v>0</v>
      </c>
      <c r="H88" s="58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D72-D73+D77-D78</f>
        <v>556.61243999998987</v>
      </c>
      <c r="E89" s="6">
        <f>E72-E73+E77-E78</f>
        <v>4956.773057999977</v>
      </c>
      <c r="F89" s="6">
        <f t="shared" si="6"/>
        <v>890.5</v>
      </c>
      <c r="G89" s="6">
        <f t="shared" si="8"/>
        <v>4400.1606179999872</v>
      </c>
      <c r="H89" s="62">
        <v>-4546.4850000000151</v>
      </c>
      <c r="I89" s="6">
        <f t="shared" ref="I89:I96" si="9">ROUND(E89/H89*100,1)</f>
        <v>-109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 t="s">
        <v>73</v>
      </c>
      <c r="E90" s="195">
        <v>0</v>
      </c>
      <c r="F90" s="195">
        <v>0</v>
      </c>
      <c r="G90" s="195">
        <v>0</v>
      </c>
      <c r="H90" s="195">
        <v>0</v>
      </c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8"/>
        <v>-15.822778173897415</v>
      </c>
      <c r="H91" s="34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556.61243999998987</v>
      </c>
      <c r="E92" s="34">
        <f>E89</f>
        <v>4956.773057999977</v>
      </c>
      <c r="F92" s="18">
        <f t="shared" si="6"/>
        <v>890.5</v>
      </c>
      <c r="G92" s="18">
        <f t="shared" si="8"/>
        <v>4400.1606179999872</v>
      </c>
      <c r="H92" s="34">
        <v>-4546.4850000000151</v>
      </c>
      <c r="I92" s="18">
        <f t="shared" si="9"/>
        <v>-109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f>D103</f>
        <v>83.491866000000002</v>
      </c>
      <c r="E93" s="195">
        <v>1437.6755780000001</v>
      </c>
      <c r="F93" s="195">
        <v>0</v>
      </c>
      <c r="G93" s="195">
        <v>0</v>
      </c>
      <c r="H93" s="195">
        <v>370.81400000000002</v>
      </c>
      <c r="I93" s="195">
        <v>0</v>
      </c>
      <c r="J93" t="s">
        <v>103</v>
      </c>
    </row>
    <row r="94" spans="1:10" ht="15.75" hidden="1" outlineLevel="1">
      <c r="A94" s="34"/>
      <c r="B94" s="220" t="s">
        <v>130</v>
      </c>
      <c r="C94" s="18" t="s">
        <v>37</v>
      </c>
      <c r="D94" s="33"/>
      <c r="E94" s="34"/>
      <c r="F94" s="18" t="e">
        <f t="shared" si="6"/>
        <v>#DIV/0!</v>
      </c>
      <c r="G94" s="18">
        <f t="shared" si="8"/>
        <v>0</v>
      </c>
      <c r="H94" s="34"/>
      <c r="I94" s="18" t="e">
        <f t="shared" si="9"/>
        <v>#DIV/0!</v>
      </c>
      <c r="J94" t="s">
        <v>103</v>
      </c>
    </row>
    <row r="95" spans="1:10" ht="15.75" hidden="1" outlineLevel="2">
      <c r="A95" s="34"/>
      <c r="B95" s="220" t="s">
        <v>131</v>
      </c>
      <c r="C95" s="18" t="s">
        <v>37</v>
      </c>
      <c r="D95" s="33"/>
      <c r="E95" s="34"/>
      <c r="F95" s="18" t="e">
        <f t="shared" si="6"/>
        <v>#DIV/0!</v>
      </c>
      <c r="G95" s="18">
        <f t="shared" si="8"/>
        <v>0</v>
      </c>
      <c r="H95" s="34"/>
      <c r="I95" s="18" t="e">
        <f t="shared" si="9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473.12057399998986</v>
      </c>
      <c r="E96" s="34">
        <f>E92-E93</f>
        <v>3519.0974799999767</v>
      </c>
      <c r="F96" s="18">
        <f t="shared" si="6"/>
        <v>743.8</v>
      </c>
      <c r="G96" s="18">
        <f t="shared" si="8"/>
        <v>3045.9769059999867</v>
      </c>
      <c r="H96" s="34">
        <v>-4917.2990000000154</v>
      </c>
      <c r="I96" s="18">
        <f t="shared" si="9"/>
        <v>-71.599999999999994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34" t="s">
        <v>136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83.491866000000002</v>
      </c>
      <c r="E102" s="6">
        <f>E103+E106</f>
        <v>1437.6755780000001</v>
      </c>
      <c r="F102" s="6">
        <f t="shared" ref="F102:F103" si="10">ROUND(E102/D102*100,1)</f>
        <v>1721.9</v>
      </c>
      <c r="G102" s="6">
        <f>E102-D102</f>
        <v>1354.183712</v>
      </c>
      <c r="H102" s="6">
        <v>9038.9009999999998</v>
      </c>
      <c r="I102" s="6">
        <f>ROUND(E102/H102*100,1)</f>
        <v>15.9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v>83.491866000000002</v>
      </c>
      <c r="E103" s="195">
        <f>E93</f>
        <v>1437.6755780000001</v>
      </c>
      <c r="F103" s="195">
        <f t="shared" si="10"/>
        <v>1721.9</v>
      </c>
      <c r="G103" s="6">
        <f>E103-D103</f>
        <v>1354.183712</v>
      </c>
      <c r="H103" s="195">
        <v>370.81400000000002</v>
      </c>
      <c r="I103" s="6">
        <f>ROUND(E103/H103*100,1)</f>
        <v>387.7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34"/>
      <c r="I104" s="6" t="e">
        <f t="shared" ref="I104:I106" si="11">ROUND(E104/H104*100,1)</f>
        <v>#DIV/0!</v>
      </c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2">E105-D105</f>
        <v>0</v>
      </c>
      <c r="H105" s="34"/>
      <c r="I105" s="6" t="e">
        <f t="shared" si="11"/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/>
      <c r="E106" s="18"/>
      <c r="F106" s="18">
        <v>0</v>
      </c>
      <c r="G106" s="34">
        <f t="shared" si="12"/>
        <v>0</v>
      </c>
      <c r="H106" s="18">
        <v>8668.0869999999995</v>
      </c>
      <c r="I106" s="6">
        <f t="shared" si="11"/>
        <v>0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22997.885999999999</v>
      </c>
      <c r="E107" s="6">
        <f>SUM(E108:E112)</f>
        <v>17940.670883999999</v>
      </c>
      <c r="F107" s="6">
        <f>ROUND(E107/D107*100,1)</f>
        <v>78</v>
      </c>
      <c r="G107" s="6">
        <f t="shared" si="12"/>
        <v>-5057.2151159999994</v>
      </c>
      <c r="H107" s="6">
        <v>27451.318999999996</v>
      </c>
      <c r="I107" s="6">
        <f>IF(H107&gt;0,ROUND(E107/H107*100,1),0)</f>
        <v>65.400000000000006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/>
      <c r="F108" s="6"/>
      <c r="G108" s="18">
        <f t="shared" si="12"/>
        <v>0</v>
      </c>
      <c r="H108" s="18">
        <v>11455</v>
      </c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610.94100000000003</v>
      </c>
      <c r="E109" s="34">
        <v>788.044937</v>
      </c>
      <c r="F109" s="18">
        <f>ROUND(E109/D109*100,1)</f>
        <v>129</v>
      </c>
      <c r="G109" s="18">
        <f t="shared" si="12"/>
        <v>177.10393699999997</v>
      </c>
      <c r="H109" s="34">
        <v>473.16800000000001</v>
      </c>
      <c r="I109" s="34">
        <f>ROUND(E109/H109*100,1)</f>
        <v>166.5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368.1</v>
      </c>
      <c r="E110" s="34">
        <v>341.47879999999998</v>
      </c>
      <c r="F110" s="18">
        <f>ROUND(E110/D110*100,1)</f>
        <v>92.8</v>
      </c>
      <c r="G110" s="18">
        <f t="shared" si="12"/>
        <v>-26.621200000000044</v>
      </c>
      <c r="H110" s="34">
        <v>254.85400000000001</v>
      </c>
      <c r="I110" s="34">
        <f>ROUND(E110/H110*100,1)</f>
        <v>134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5665</v>
      </c>
      <c r="E111" s="34">
        <v>6191.2681499999999</v>
      </c>
      <c r="F111" s="18">
        <f>ROUND(E111/D111*100,1)</f>
        <v>109.3</v>
      </c>
      <c r="G111" s="18">
        <f t="shared" si="12"/>
        <v>526.26814999999988</v>
      </c>
      <c r="H111" s="34">
        <v>5553.3389999999999</v>
      </c>
      <c r="I111" s="34">
        <f>ROUND(E111/H111*100,1)</f>
        <v>111.5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16353.844999999999</v>
      </c>
      <c r="E112" s="34">
        <v>10619.878997</v>
      </c>
      <c r="F112" s="18">
        <f>ROUND(E112/D112*100,1)</f>
        <v>64.900000000000006</v>
      </c>
      <c r="G112" s="18">
        <f t="shared" si="12"/>
        <v>-5733.9660029999995</v>
      </c>
      <c r="H112" s="34">
        <v>9714.9580000000005</v>
      </c>
      <c r="I112" s="34">
        <f>ROUND(E112/H112*100,1)</f>
        <v>109.3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24864.548000000003</v>
      </c>
      <c r="E113" s="6">
        <f>SUM(E115:E120)</f>
        <v>423.40899999999999</v>
      </c>
      <c r="F113" s="6">
        <f>ROUND(E113/D113*100,1)</f>
        <v>1.7</v>
      </c>
      <c r="G113" s="6">
        <f t="shared" si="12"/>
        <v>-24441.139000000003</v>
      </c>
      <c r="H113" s="6">
        <v>11639.246000000001</v>
      </c>
      <c r="I113" s="6">
        <f>ROUND(E113/H113*100,1)</f>
        <v>3.6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1" si="13">E115-D115</f>
        <v>0</v>
      </c>
      <c r="H115" s="18"/>
      <c r="I115" s="18" t="e">
        <f t="shared" ref="I115:I121" si="14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3"/>
        <v>0</v>
      </c>
      <c r="H116" s="18"/>
      <c r="I116" s="18" t="e">
        <f t="shared" si="14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f>D61*12%</f>
        <v>14618.136</v>
      </c>
      <c r="E117" s="18"/>
      <c r="F117" s="18">
        <f>ROUND(E117/D117*100,1)</f>
        <v>0</v>
      </c>
      <c r="G117" s="18">
        <f t="shared" si="13"/>
        <v>-14618.136</v>
      </c>
      <c r="H117" s="18">
        <v>11276.806</v>
      </c>
      <c r="I117" s="18">
        <f t="shared" si="14"/>
        <v>0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500.988</v>
      </c>
      <c r="E118" s="35">
        <v>423.40899999999999</v>
      </c>
      <c r="F118" s="18">
        <f>ROUND(E118/D118*100,1)</f>
        <v>84.5</v>
      </c>
      <c r="G118" s="35">
        <f t="shared" si="13"/>
        <v>-77.579000000000008</v>
      </c>
      <c r="H118" s="35">
        <v>362.44</v>
      </c>
      <c r="I118" s="18">
        <f t="shared" si="14"/>
        <v>116.8</v>
      </c>
      <c r="J118" s="11" t="s">
        <v>139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3"/>
        <v>0</v>
      </c>
      <c r="H119" s="18"/>
      <c r="I119" s="18" t="e">
        <f t="shared" si="14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9745.4240000000009</v>
      </c>
      <c r="E120" s="18"/>
      <c r="F120" s="18">
        <f>ROUND(E120/D120*100,1)</f>
        <v>0</v>
      </c>
      <c r="G120" s="18">
        <f t="shared" si="13"/>
        <v>-9745.4240000000009</v>
      </c>
      <c r="H120" s="18"/>
      <c r="I120" s="18" t="e">
        <f t="shared" si="14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47945.925866000005</v>
      </c>
      <c r="E121" s="6">
        <f>E102+E113+E107</f>
        <v>19801.755462000001</v>
      </c>
      <c r="F121" s="6">
        <f>ROUND(E121/D121*100,1)</f>
        <v>41.3</v>
      </c>
      <c r="G121" s="6">
        <f t="shared" si="13"/>
        <v>-28144.170404000004</v>
      </c>
      <c r="H121" s="6">
        <v>48129.466</v>
      </c>
      <c r="I121" s="6">
        <f t="shared" si="14"/>
        <v>41.1</v>
      </c>
      <c r="J121" s="11" t="s">
        <v>139</v>
      </c>
    </row>
    <row r="122" spans="1:13" ht="15.75">
      <c r="A122" s="34" t="s">
        <v>157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 collapsed="1">
      <c r="A125" s="34" t="s">
        <v>161</v>
      </c>
      <c r="B125" s="227" t="s">
        <v>162</v>
      </c>
      <c r="C125" s="18" t="s">
        <v>37</v>
      </c>
      <c r="D125" s="6">
        <f>SUM(D127:D130)</f>
        <v>361929.1495</v>
      </c>
      <c r="E125" s="6">
        <f>SUM(E127:E130)</f>
        <v>345094.96996999998</v>
      </c>
      <c r="F125" s="6">
        <f t="shared" ref="F125:F130" si="15">ROUND(E125/D125*100,1)</f>
        <v>95.3</v>
      </c>
      <c r="G125" s="6">
        <f t="shared" ref="G125:G151" si="16">E125-D125</f>
        <v>-16834.179530000023</v>
      </c>
      <c r="H125" s="6">
        <v>243994.30699999997</v>
      </c>
      <c r="I125" s="6">
        <f>ROUND(E125/H125*100,1)</f>
        <v>141.4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6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203369.4405</v>
      </c>
      <c r="E127" s="18">
        <v>189280.19200899999</v>
      </c>
      <c r="F127" s="18">
        <f t="shared" si="15"/>
        <v>93.1</v>
      </c>
      <c r="G127" s="18">
        <f t="shared" si="16"/>
        <v>-14089.248491000006</v>
      </c>
      <c r="H127" s="18">
        <v>127895.088</v>
      </c>
      <c r="I127" s="18">
        <f>ROUND(E127/H127*100,1)</f>
        <v>148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v>103350.266</v>
      </c>
      <c r="E128" s="18">
        <v>91221.792941000007</v>
      </c>
      <c r="F128" s="18">
        <f t="shared" si="15"/>
        <v>88.3</v>
      </c>
      <c r="G128" s="18">
        <f t="shared" si="16"/>
        <v>-12128.473058999996</v>
      </c>
      <c r="H128" s="18">
        <v>74444.25</v>
      </c>
      <c r="I128" s="18">
        <f>ROUND(E128/H128*100,1)</f>
        <v>122.5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45911.052000000003</v>
      </c>
      <c r="E129" s="18">
        <v>52646.773947000001</v>
      </c>
      <c r="F129" s="18">
        <f t="shared" si="15"/>
        <v>114.7</v>
      </c>
      <c r="G129" s="18">
        <f t="shared" si="16"/>
        <v>6735.7219469999982</v>
      </c>
      <c r="H129" s="18">
        <v>31396.31</v>
      </c>
      <c r="I129" s="18">
        <f>ROUND(E129/H129*100,1)</f>
        <v>167.7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9298.3909999999996</v>
      </c>
      <c r="E130" s="18">
        <v>11946.211073</v>
      </c>
      <c r="F130" s="18">
        <f t="shared" si="15"/>
        <v>128.5</v>
      </c>
      <c r="G130" s="18">
        <f t="shared" si="16"/>
        <v>2647.8200730000008</v>
      </c>
      <c r="H130" s="18">
        <v>10258.659</v>
      </c>
      <c r="I130" s="18">
        <f>ROUND(E130/H130*100,1)</f>
        <v>116.5</v>
      </c>
      <c r="J130" s="11" t="s">
        <v>139</v>
      </c>
    </row>
    <row r="131" spans="1:13" ht="23.25" customHeight="1">
      <c r="A131" s="18" t="s">
        <v>168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6"/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6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6">
        <v>1319348</v>
      </c>
      <c r="F133" s="34"/>
      <c r="G133" s="34">
        <f t="shared" si="16"/>
        <v>1319348</v>
      </c>
      <c r="H133" s="34">
        <v>1869448.615</v>
      </c>
      <c r="I133" s="34">
        <f>IF(H133&gt;0,ROUND(E133/H133*100,1),0)</f>
        <v>70.599999999999994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6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/>
      <c r="F135" s="18"/>
      <c r="G135" s="18">
        <f t="shared" si="16"/>
        <v>0</v>
      </c>
      <c r="H135" s="18">
        <v>1144358.446</v>
      </c>
      <c r="I135" s="18">
        <f t="shared" ref="I135:I143" si="17">IF(H135&gt;0,ROUND(E135/H135*100,1),0)</f>
        <v>0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39.5</v>
      </c>
      <c r="F136" s="18"/>
      <c r="G136" s="18">
        <f t="shared" si="16"/>
        <v>39.5</v>
      </c>
      <c r="H136" s="18">
        <v>0</v>
      </c>
      <c r="I136" s="18">
        <f t="shared" si="17"/>
        <v>0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/>
      <c r="F137" s="18"/>
      <c r="G137" s="18">
        <f t="shared" si="16"/>
        <v>0</v>
      </c>
      <c r="H137" s="18">
        <v>813451.69099999999</v>
      </c>
      <c r="I137" s="18">
        <f t="shared" si="17"/>
        <v>0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6"/>
        <v>0</v>
      </c>
      <c r="H138" s="18"/>
      <c r="I138" s="18">
        <f t="shared" si="17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/>
      <c r="F139" s="18"/>
      <c r="G139" s="81">
        <f t="shared" si="16"/>
        <v>0</v>
      </c>
      <c r="H139" s="81">
        <v>202902.978</v>
      </c>
      <c r="I139" s="18">
        <f t="shared" si="17"/>
        <v>0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6"/>
        <v>0</v>
      </c>
      <c r="H140" s="18"/>
      <c r="I140" s="18">
        <f t="shared" si="17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155524</v>
      </c>
      <c r="F141" s="18"/>
      <c r="G141" s="18">
        <f t="shared" si="16"/>
        <v>155524</v>
      </c>
      <c r="H141" s="18">
        <v>110344.098</v>
      </c>
      <c r="I141" s="18">
        <f t="shared" si="17"/>
        <v>140.9</v>
      </c>
      <c r="K141" t="s">
        <v>170</v>
      </c>
      <c r="L141" t="s">
        <v>170</v>
      </c>
      <c r="M141" t="s">
        <v>182</v>
      </c>
    </row>
    <row r="142" spans="1:13" ht="15.75">
      <c r="A142" s="34"/>
      <c r="B142" s="228" t="s">
        <v>183</v>
      </c>
      <c r="C142" s="18" t="s">
        <v>37</v>
      </c>
      <c r="D142" s="18"/>
      <c r="E142" s="18">
        <v>296379</v>
      </c>
      <c r="F142" s="18"/>
      <c r="G142" s="18">
        <f t="shared" si="16"/>
        <v>296379</v>
      </c>
      <c r="H142" s="18">
        <v>82791.308000000005</v>
      </c>
      <c r="I142" s="18">
        <f t="shared" si="17"/>
        <v>358</v>
      </c>
      <c r="K142" t="s">
        <v>170</v>
      </c>
      <c r="L142" t="s">
        <v>170</v>
      </c>
      <c r="M142" t="s">
        <v>184</v>
      </c>
    </row>
    <row r="143" spans="1:13" ht="15.75">
      <c r="A143" s="34"/>
      <c r="B143" s="237" t="s">
        <v>185</v>
      </c>
      <c r="C143" s="18" t="s">
        <v>37</v>
      </c>
      <c r="D143" s="18"/>
      <c r="E143" s="18">
        <v>617</v>
      </c>
      <c r="F143" s="18"/>
      <c r="G143" s="18">
        <f>E143-D143</f>
        <v>617</v>
      </c>
      <c r="H143" s="18">
        <v>37285.196000000004</v>
      </c>
      <c r="I143" s="18">
        <f t="shared" si="17"/>
        <v>1.7</v>
      </c>
      <c r="K143" t="s">
        <v>170</v>
      </c>
      <c r="L143" t="s">
        <v>170</v>
      </c>
      <c r="M143" t="s">
        <v>186</v>
      </c>
    </row>
    <row r="144" spans="1:13" ht="18" customHeight="1">
      <c r="A144" s="34"/>
      <c r="B144" s="34" t="s">
        <v>163</v>
      </c>
      <c r="C144" s="18" t="s">
        <v>37</v>
      </c>
      <c r="D144" s="18"/>
      <c r="E144" s="18"/>
      <c r="F144" s="18"/>
      <c r="G144" s="18">
        <f t="shared" si="16"/>
        <v>0</v>
      </c>
      <c r="H144" s="18"/>
      <c r="I144" s="18"/>
      <c r="K144" t="s">
        <v>170</v>
      </c>
      <c r="L144" t="s">
        <v>170</v>
      </c>
    </row>
    <row r="145" spans="1:12" ht="15.75">
      <c r="A145" s="34"/>
      <c r="B145" s="224" t="s">
        <v>187</v>
      </c>
      <c r="C145" s="18" t="s">
        <v>37</v>
      </c>
      <c r="D145" s="18"/>
      <c r="E145" s="18">
        <v>40</v>
      </c>
      <c r="F145" s="18"/>
      <c r="G145" s="18">
        <f t="shared" si="16"/>
        <v>40</v>
      </c>
      <c r="H145" s="18">
        <v>0</v>
      </c>
      <c r="I145" s="18">
        <f>IF(H145&gt;0,ROUND(E145/H145*100,1),0)</f>
        <v>0</v>
      </c>
      <c r="K145" t="s">
        <v>170</v>
      </c>
    </row>
    <row r="146" spans="1:12" ht="18.75" hidden="1" customHeight="1" outlineLevel="1">
      <c r="A146" s="34" t="s">
        <v>188</v>
      </c>
      <c r="B146" s="220" t="s">
        <v>189</v>
      </c>
      <c r="C146" s="18" t="s">
        <v>37</v>
      </c>
      <c r="D146" s="18"/>
      <c r="E146" s="18"/>
      <c r="F146" s="18"/>
      <c r="G146" s="18">
        <f>E146-D146</f>
        <v>0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34">
        <v>30</v>
      </c>
      <c r="B147" s="220" t="s">
        <v>190</v>
      </c>
      <c r="C147" s="18" t="s">
        <v>37</v>
      </c>
      <c r="D147" s="18"/>
      <c r="E147" s="18">
        <v>555576</v>
      </c>
      <c r="F147" s="18"/>
      <c r="G147" s="18">
        <f>E147-D147</f>
        <v>555576</v>
      </c>
      <c r="H147" s="18">
        <v>459548.07900000003</v>
      </c>
      <c r="I147" s="18">
        <f>ROUND(E147/H147*100,1)</f>
        <v>120.9</v>
      </c>
      <c r="K147" t="s">
        <v>170</v>
      </c>
      <c r="L147" t="s">
        <v>191</v>
      </c>
    </row>
    <row r="148" spans="1:12" ht="15.75" hidden="1" outlineLevel="1">
      <c r="A148" s="34"/>
      <c r="B148" s="34" t="s">
        <v>12</v>
      </c>
      <c r="C148" s="18" t="s">
        <v>37</v>
      </c>
      <c r="D148" s="18"/>
      <c r="E148" s="18"/>
      <c r="F148" s="18"/>
      <c r="G148" s="18">
        <f t="shared" si="16"/>
        <v>0</v>
      </c>
      <c r="H148" s="18"/>
      <c r="I148" s="18"/>
      <c r="K148" t="s">
        <v>170</v>
      </c>
    </row>
    <row r="149" spans="1:12" ht="15.75" hidden="1" outlineLevel="1">
      <c r="A149" s="34"/>
      <c r="B149" s="220" t="s">
        <v>192</v>
      </c>
      <c r="C149" s="18" t="s">
        <v>37</v>
      </c>
      <c r="D149" s="18"/>
      <c r="E149" s="18"/>
      <c r="F149" s="18"/>
      <c r="G149" s="18">
        <f t="shared" si="16"/>
        <v>0</v>
      </c>
      <c r="H149" s="18"/>
      <c r="I149" s="18"/>
      <c r="K149" t="s">
        <v>170</v>
      </c>
    </row>
    <row r="150" spans="1:12" ht="15.75" hidden="1" outlineLevel="1">
      <c r="A150" s="34"/>
      <c r="B150" s="220" t="s">
        <v>193</v>
      </c>
      <c r="C150" s="18" t="s">
        <v>37</v>
      </c>
      <c r="D150" s="18"/>
      <c r="E150" s="18"/>
      <c r="F150" s="18"/>
      <c r="G150" s="18">
        <f t="shared" si="16"/>
        <v>0</v>
      </c>
      <c r="H150" s="18"/>
      <c r="I150" s="18" t="e">
        <f>ROUND(E150/H150*100,1)</f>
        <v>#DIV/0!</v>
      </c>
      <c r="K150" t="s">
        <v>170</v>
      </c>
    </row>
    <row r="151" spans="1:12" ht="15.75" collapsed="1">
      <c r="A151" s="34">
        <v>31</v>
      </c>
      <c r="B151" s="220" t="s">
        <v>194</v>
      </c>
      <c r="C151" s="18" t="s">
        <v>37</v>
      </c>
      <c r="D151" s="18"/>
      <c r="E151" s="18">
        <v>564875</v>
      </c>
      <c r="F151" s="18"/>
      <c r="G151" s="18">
        <f t="shared" si="16"/>
        <v>564875</v>
      </c>
      <c r="H151" s="18">
        <v>322740.31300000002</v>
      </c>
      <c r="I151" s="18">
        <f>ROUND(E151/H151*100,1)</f>
        <v>175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40"/>
      <c r="F152" s="40"/>
      <c r="G152" s="40"/>
      <c r="H152" s="41"/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40"/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40"/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40"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40"/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ht="48.75" customHeight="1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'[2]2019'!$G$164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'[3]2019'!B168</f>
        <v>Начальник ОЭАиП</v>
      </c>
      <c r="C166" s="46"/>
      <c r="D166" s="46"/>
      <c r="E166" s="46"/>
      <c r="F166" s="48"/>
      <c r="G166" s="46" t="s">
        <v>251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B169" s="207" t="s">
        <v>243</v>
      </c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0"/>
  <sheetViews>
    <sheetView showZeros="0" view="pageBreakPreview" zoomScale="90" zoomScaleNormal="100" zoomScaleSheetLayoutView="90" workbookViewId="0">
      <pane ySplit="3" topLeftCell="A61" activePane="bottomLeft" state="frozen"/>
      <selection activeCell="S5" sqref="S5"/>
      <selection pane="bottomLeft" activeCell="E21" sqref="E21"/>
    </sheetView>
  </sheetViews>
  <sheetFormatPr defaultRowHeight="12.75" outlineLevelRow="2" outlineLevelCol="1"/>
  <cols>
    <col min="1" max="1" width="3.8554687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4" width="9.140625" hidden="1" customWidth="1" outlineLevel="1"/>
    <col min="15" max="15" width="9.140625" collapsed="1"/>
  </cols>
  <sheetData>
    <row r="1" spans="1:10" ht="48" customHeight="1">
      <c r="A1" s="282" t="s">
        <v>237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236</v>
      </c>
      <c r="E2" s="289"/>
      <c r="F2" s="289"/>
      <c r="G2" s="289"/>
      <c r="H2" s="290" t="s">
        <v>235</v>
      </c>
      <c r="I2" s="288" t="s">
        <v>3</v>
      </c>
    </row>
    <row r="3" spans="1:10" ht="22.5" customHeight="1">
      <c r="A3" s="286"/>
      <c r="B3" s="287"/>
      <c r="C3" s="287"/>
      <c r="D3" s="191" t="s">
        <v>4</v>
      </c>
      <c r="E3" s="190" t="s">
        <v>5</v>
      </c>
      <c r="F3" s="190" t="s">
        <v>6</v>
      </c>
      <c r="G3" s="190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2" t="s">
        <v>9</v>
      </c>
      <c r="B5" s="3" t="s">
        <v>10</v>
      </c>
      <c r="C5" s="192" t="s">
        <v>11</v>
      </c>
      <c r="D5" s="5">
        <f>D7+D8+D9</f>
        <v>3403.665</v>
      </c>
      <c r="E5" s="5">
        <f>E7+E8+E9</f>
        <v>3435.107</v>
      </c>
      <c r="F5" s="5">
        <f>ROUND(E5/D5*100,1)</f>
        <v>100.9</v>
      </c>
      <c r="G5" s="5">
        <f>E5-D5</f>
        <v>31.442000000000007</v>
      </c>
      <c r="H5" s="6">
        <f>H7+H8+H9</f>
        <v>2442.5779999999995</v>
      </c>
      <c r="I5" s="6">
        <f>IF(H5&gt;0,ROUND(E5/H5*100,1),0)</f>
        <v>140.6</v>
      </c>
    </row>
    <row r="6" spans="1:10" ht="15.75" customHeight="1">
      <c r="A6" s="2"/>
      <c r="B6" s="2" t="s">
        <v>12</v>
      </c>
      <c r="C6" s="2"/>
      <c r="D6" s="34"/>
      <c r="E6" s="34"/>
      <c r="F6" s="34"/>
      <c r="G6" s="34"/>
      <c r="H6" s="18"/>
      <c r="I6" s="7"/>
    </row>
    <row r="7" spans="1:10" ht="15.75">
      <c r="A7" s="2"/>
      <c r="B7" s="8" t="s">
        <v>13</v>
      </c>
      <c r="C7" s="2" t="s">
        <v>11</v>
      </c>
      <c r="D7" s="34">
        <v>2807.22</v>
      </c>
      <c r="E7" s="34">
        <v>2911.424</v>
      </c>
      <c r="F7" s="34">
        <f>ROUND(E7/D7*100,1)</f>
        <v>103.7</v>
      </c>
      <c r="G7" s="34">
        <f>E7-D7</f>
        <v>104.20400000000018</v>
      </c>
      <c r="H7" s="34">
        <v>2130.62</v>
      </c>
      <c r="I7" s="9">
        <f>IF(H7&gt;0,ROUND(E7/H7*100,1),0)</f>
        <v>136.6</v>
      </c>
    </row>
    <row r="8" spans="1:10" ht="15.75">
      <c r="A8" s="2"/>
      <c r="B8" s="8" t="s">
        <v>14</v>
      </c>
      <c r="C8" s="2" t="s">
        <v>11</v>
      </c>
      <c r="D8" s="34">
        <v>44.52</v>
      </c>
      <c r="E8" s="34">
        <v>47.545999999999999</v>
      </c>
      <c r="F8" s="34">
        <f>ROUND(E8/D8*100,1)</f>
        <v>106.8</v>
      </c>
      <c r="G8" s="34">
        <f>E8-D8</f>
        <v>3.0259999999999962</v>
      </c>
      <c r="H8" s="34">
        <v>48.055</v>
      </c>
      <c r="I8" s="9">
        <f>IF(H8&gt;0,ROUND(E8/H8*100,1),0)</f>
        <v>98.9</v>
      </c>
    </row>
    <row r="9" spans="1:10" ht="15.75">
      <c r="A9" s="2"/>
      <c r="B9" s="8" t="s">
        <v>15</v>
      </c>
      <c r="C9" s="2" t="s">
        <v>11</v>
      </c>
      <c r="D9" s="34">
        <v>551.92499999999995</v>
      </c>
      <c r="E9" s="34">
        <v>476.137</v>
      </c>
      <c r="F9" s="34">
        <f>ROUND(E9/D9*100,1)</f>
        <v>86.3</v>
      </c>
      <c r="G9" s="34">
        <f>E9-D9</f>
        <v>-75.787999999999954</v>
      </c>
      <c r="H9" s="34">
        <v>263.90300000000002</v>
      </c>
      <c r="I9" s="9">
        <f>IF(H9&gt;0,ROUND(E9/H9*100,1),0)</f>
        <v>180.4</v>
      </c>
    </row>
    <row r="10" spans="1:10" ht="15.75">
      <c r="A10" s="2" t="s">
        <v>16</v>
      </c>
      <c r="B10" s="3" t="s">
        <v>17</v>
      </c>
      <c r="C10" s="189" t="s">
        <v>11</v>
      </c>
      <c r="D10" s="6">
        <f>D12+D13</f>
        <v>302.90780000000001</v>
      </c>
      <c r="E10" s="6">
        <f>E12+E13</f>
        <v>250.66200000000001</v>
      </c>
      <c r="F10" s="5">
        <f>ROUND(E10/D10*100,1)</f>
        <v>82.8</v>
      </c>
      <c r="G10" s="5">
        <f>E10-D10</f>
        <v>-52.245800000000003</v>
      </c>
      <c r="H10" s="6">
        <f>H12+H13</f>
        <v>240.63900000000001</v>
      </c>
      <c r="I10" s="10">
        <f>IF(H10&gt;0,ROUND(E10/H10*100,1),0)</f>
        <v>104.2</v>
      </c>
    </row>
    <row r="11" spans="1:10" ht="17.25" customHeight="1">
      <c r="A11" s="2"/>
      <c r="B11" s="2" t="s">
        <v>12</v>
      </c>
      <c r="C11" s="2"/>
      <c r="D11" s="34"/>
      <c r="E11" s="34"/>
      <c r="F11" s="34"/>
      <c r="G11" s="34"/>
      <c r="H11" s="18"/>
      <c r="I11" s="7"/>
    </row>
    <row r="12" spans="1:10" ht="15.75">
      <c r="A12" s="2"/>
      <c r="B12" s="8" t="s">
        <v>18</v>
      </c>
      <c r="C12" s="2" t="s">
        <v>11</v>
      </c>
      <c r="D12" s="34">
        <v>143.32980000000001</v>
      </c>
      <c r="E12" s="34">
        <f>145.062</f>
        <v>145.06200000000001</v>
      </c>
      <c r="F12" s="34">
        <f>ROUND(E12/D12*100,1)</f>
        <v>101.2</v>
      </c>
      <c r="G12" s="34">
        <f>E12-D12</f>
        <v>1.732200000000006</v>
      </c>
      <c r="H12" s="34">
        <v>122.75700000000001</v>
      </c>
      <c r="I12" s="9">
        <f t="shared" ref="I12:I13" si="0">IF(H12&gt;0,ROUND(E12/H12*100,1),0)</f>
        <v>118.2</v>
      </c>
    </row>
    <row r="13" spans="1:10" ht="15.75">
      <c r="A13" s="2"/>
      <c r="B13" s="8" t="s">
        <v>19</v>
      </c>
      <c r="C13" s="2" t="s">
        <v>11</v>
      </c>
      <c r="D13" s="34">
        <f>60.235+99.343</f>
        <v>159.578</v>
      </c>
      <c r="E13" s="34">
        <f>'9 месяцев 22 года.'!E13</f>
        <v>105.6</v>
      </c>
      <c r="F13" s="34">
        <f>ROUND(E13/D13*100,1)</f>
        <v>66.2</v>
      </c>
      <c r="G13" s="34">
        <f>E13-D13</f>
        <v>-53.978000000000009</v>
      </c>
      <c r="H13" s="34">
        <f>93.102+24.78</f>
        <v>117.88200000000001</v>
      </c>
      <c r="I13" s="9">
        <f t="shared" si="0"/>
        <v>89.6</v>
      </c>
    </row>
    <row r="14" spans="1:10" ht="15.75">
      <c r="A14" s="2" t="s">
        <v>20</v>
      </c>
      <c r="B14" s="3" t="s">
        <v>21</v>
      </c>
      <c r="C14" s="192" t="s">
        <v>11</v>
      </c>
      <c r="D14" s="5">
        <f>D16+D17+D18</f>
        <v>3438.8470000000002</v>
      </c>
      <c r="E14" s="5">
        <f>E16+E17+E18</f>
        <v>3808.3650000000002</v>
      </c>
      <c r="F14" s="5">
        <f>ROUND(E14/D14*100,1)</f>
        <v>110.7</v>
      </c>
      <c r="G14" s="5">
        <f>E14-D14</f>
        <v>369.51800000000003</v>
      </c>
      <c r="H14" s="6">
        <f>H16+H17+H18</f>
        <v>2429.9270000000001</v>
      </c>
      <c r="I14" s="10">
        <f>IF(H14&gt;0,ROUND(E14/H14*100,1),0)</f>
        <v>156.69999999999999</v>
      </c>
      <c r="J14" t="s">
        <v>22</v>
      </c>
    </row>
    <row r="15" spans="1:10" ht="18" customHeight="1">
      <c r="A15" s="2"/>
      <c r="B15" s="2" t="s">
        <v>12</v>
      </c>
      <c r="C15" s="2"/>
      <c r="D15" s="34"/>
      <c r="E15" s="34"/>
      <c r="F15" s="34"/>
      <c r="G15" s="34"/>
      <c r="H15" s="18"/>
      <c r="I15" s="7"/>
    </row>
    <row r="16" spans="1:10" ht="15.75">
      <c r="A16" s="2"/>
      <c r="B16" s="8" t="s">
        <v>13</v>
      </c>
      <c r="C16" s="2" t="s">
        <v>11</v>
      </c>
      <c r="D16" s="34">
        <v>2837.489</v>
      </c>
      <c r="E16" s="34">
        <v>3304.2130000000002</v>
      </c>
      <c r="F16" s="34">
        <f>ROUND(E16/D16*100,1)</f>
        <v>116.4</v>
      </c>
      <c r="G16" s="34">
        <f>E16-D16</f>
        <v>466.72400000000016</v>
      </c>
      <c r="H16" s="34">
        <v>2173.3820000000001</v>
      </c>
      <c r="I16" s="9">
        <f>IF(H16&gt;0,ROUND(E16/H16*100,1),0)</f>
        <v>152</v>
      </c>
      <c r="J16" t="s">
        <v>22</v>
      </c>
    </row>
    <row r="17" spans="1:12" ht="15.75">
      <c r="A17" s="2"/>
      <c r="B17" s="8" t="s">
        <v>14</v>
      </c>
      <c r="C17" s="2" t="s">
        <v>11</v>
      </c>
      <c r="D17" s="34">
        <v>44.655000000000001</v>
      </c>
      <c r="E17" s="34">
        <v>47.631</v>
      </c>
      <c r="F17" s="34">
        <f>ROUND(E17/D17*100,1)</f>
        <v>106.7</v>
      </c>
      <c r="G17" s="34">
        <f>E17-D17</f>
        <v>2.9759999999999991</v>
      </c>
      <c r="H17" s="34">
        <v>37.54</v>
      </c>
      <c r="I17" s="9">
        <f>IF(H17&gt;0,ROUND(E17/H17*100,1),0)</f>
        <v>126.9</v>
      </c>
      <c r="J17" t="s">
        <v>22</v>
      </c>
    </row>
    <row r="18" spans="1:12" ht="15.75">
      <c r="A18" s="2"/>
      <c r="B18" s="8" t="s">
        <v>15</v>
      </c>
      <c r="C18" s="2" t="s">
        <v>11</v>
      </c>
      <c r="D18" s="34">
        <v>556.70299999999997</v>
      </c>
      <c r="E18" s="34">
        <v>456.52100000000002</v>
      </c>
      <c r="F18" s="34">
        <f>ROUND(E18/D18*100,1)</f>
        <v>82</v>
      </c>
      <c r="G18" s="34">
        <f>E18-D18</f>
        <v>-100.18199999999996</v>
      </c>
      <c r="H18" s="18">
        <v>219.005</v>
      </c>
      <c r="I18" s="9">
        <f>IF(H18&gt;0,ROUND(E18/H18*100,1),0)</f>
        <v>208.5</v>
      </c>
    </row>
    <row r="19" spans="1:12" ht="18.75">
      <c r="A19" s="2" t="s">
        <v>23</v>
      </c>
      <c r="B19" s="3" t="s">
        <v>24</v>
      </c>
      <c r="C19" s="192" t="s">
        <v>25</v>
      </c>
      <c r="D19" s="5">
        <f>D21+D22+D23+D24</f>
        <v>24378.146999999997</v>
      </c>
      <c r="E19" s="5">
        <f>E21+E22+E23+E24</f>
        <v>22354.164000000001</v>
      </c>
      <c r="F19" s="5">
        <f>ROUND(E19/D19*100,1)</f>
        <v>91.7</v>
      </c>
      <c r="G19" s="5">
        <f>E19-D19</f>
        <v>-2023.9829999999965</v>
      </c>
      <c r="H19" s="6">
        <f>H21+H22+H23+H24</f>
        <v>16412.764999999999</v>
      </c>
      <c r="I19" s="10">
        <f>IF(H19&gt;0,ROUND(E19/H19*100,1),0)</f>
        <v>136.19999999999999</v>
      </c>
      <c r="J19" t="s">
        <v>22</v>
      </c>
    </row>
    <row r="20" spans="1:12" ht="15.75">
      <c r="A20" s="2"/>
      <c r="B20" s="3" t="s">
        <v>26</v>
      </c>
      <c r="C20" s="2"/>
      <c r="D20" s="34"/>
      <c r="E20" s="34"/>
      <c r="F20" s="34"/>
      <c r="G20" s="34"/>
      <c r="H20" s="18"/>
      <c r="I20" s="7"/>
      <c r="L20" s="11"/>
    </row>
    <row r="21" spans="1:12" ht="18.75">
      <c r="A21" s="2"/>
      <c r="B21" s="8" t="s">
        <v>27</v>
      </c>
      <c r="C21" s="2" t="s">
        <v>28</v>
      </c>
      <c r="D21" s="34">
        <v>6293.5290000000005</v>
      </c>
      <c r="E21" s="34">
        <v>6196.9110000000001</v>
      </c>
      <c r="F21" s="34">
        <f>ROUND(E21/D21*100,1)</f>
        <v>98.5</v>
      </c>
      <c r="G21" s="34">
        <f t="shared" ref="G21:G31" si="1">E21-D21</f>
        <v>-96.618000000000393</v>
      </c>
      <c r="H21" s="34">
        <v>5647.7330000000002</v>
      </c>
      <c r="I21" s="9">
        <f t="shared" ref="I21:I28" si="2">IF(H21&gt;0,ROUND(E21/H21*100,1),0)</f>
        <v>109.7</v>
      </c>
      <c r="J21" t="s">
        <v>22</v>
      </c>
    </row>
    <row r="22" spans="1:12" ht="18.75">
      <c r="A22" s="2"/>
      <c r="B22" s="8" t="s">
        <v>29</v>
      </c>
      <c r="C22" s="2" t="s">
        <v>28</v>
      </c>
      <c r="D22" s="34">
        <v>18084.617999999999</v>
      </c>
      <c r="E22" s="34">
        <v>16157.253000000001</v>
      </c>
      <c r="F22" s="34">
        <f>ROUND(E22/D22*100,1)</f>
        <v>89.3</v>
      </c>
      <c r="G22" s="34">
        <f t="shared" si="1"/>
        <v>-1927.364999999998</v>
      </c>
      <c r="H22" s="34">
        <v>10655.572</v>
      </c>
      <c r="I22" s="9">
        <f t="shared" si="2"/>
        <v>151.6</v>
      </c>
      <c r="J22" t="s">
        <v>22</v>
      </c>
    </row>
    <row r="23" spans="1:12" ht="18.75" hidden="1" outlineLevel="1">
      <c r="A23" s="2"/>
      <c r="B23" s="8" t="s">
        <v>30</v>
      </c>
      <c r="C23" s="2" t="s">
        <v>28</v>
      </c>
      <c r="D23" s="34"/>
      <c r="E23" s="34"/>
      <c r="F23" s="34"/>
      <c r="G23" s="34">
        <f t="shared" si="1"/>
        <v>0</v>
      </c>
      <c r="H23" s="34"/>
      <c r="I23" s="9">
        <f t="shared" si="2"/>
        <v>0</v>
      </c>
      <c r="J23" t="s">
        <v>22</v>
      </c>
    </row>
    <row r="24" spans="1:12" ht="18.75" collapsed="1">
      <c r="A24" s="2"/>
      <c r="B24" s="8" t="s">
        <v>31</v>
      </c>
      <c r="C24" s="2" t="s">
        <v>28</v>
      </c>
      <c r="D24" s="195">
        <v>0</v>
      </c>
      <c r="E24" s="195">
        <v>0</v>
      </c>
      <c r="F24" s="34">
        <f>E24</f>
        <v>0</v>
      </c>
      <c r="G24" s="34">
        <v>0</v>
      </c>
      <c r="H24" s="34">
        <v>109.46</v>
      </c>
      <c r="I24" s="9">
        <v>0</v>
      </c>
      <c r="J24" t="s">
        <v>22</v>
      </c>
    </row>
    <row r="25" spans="1:12" ht="15.75">
      <c r="A25" s="2" t="s">
        <v>32</v>
      </c>
      <c r="B25" s="12" t="s">
        <v>33</v>
      </c>
      <c r="C25" s="13" t="s">
        <v>34</v>
      </c>
      <c r="D25" s="18">
        <v>778</v>
      </c>
      <c r="E25" s="18">
        <v>1063</v>
      </c>
      <c r="F25" s="18">
        <f t="shared" ref="F25:F29" si="3">ROUND(E25/D25*100,1)</f>
        <v>136.6</v>
      </c>
      <c r="G25" s="18">
        <f t="shared" si="1"/>
        <v>285</v>
      </c>
      <c r="H25" s="18">
        <v>1068.0999999999999</v>
      </c>
      <c r="I25" s="9">
        <f t="shared" si="2"/>
        <v>99.5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18">
        <v>620700.53300000005</v>
      </c>
      <c r="E26" s="18">
        <v>625694.348</v>
      </c>
      <c r="F26" s="18">
        <f t="shared" si="3"/>
        <v>100.8</v>
      </c>
      <c r="G26" s="18">
        <f t="shared" si="1"/>
        <v>4993.8149999999441</v>
      </c>
      <c r="H26" s="18">
        <v>450874.65100000001</v>
      </c>
      <c r="I26" s="18">
        <f t="shared" si="2"/>
        <v>138.80000000000001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231</v>
      </c>
      <c r="C27" s="17" t="s">
        <v>37</v>
      </c>
      <c r="D27" s="18">
        <v>278.64699999999999</v>
      </c>
      <c r="E27" s="18">
        <v>147.72300000000001</v>
      </c>
      <c r="F27" s="18">
        <f t="shared" si="3"/>
        <v>53</v>
      </c>
      <c r="G27" s="18">
        <f>E27-D27</f>
        <v>-130.92399999999998</v>
      </c>
      <c r="H27" s="18">
        <v>107.95099999999999</v>
      </c>
      <c r="I27" s="18">
        <f t="shared" si="2"/>
        <v>136.80000000000001</v>
      </c>
      <c r="J27" t="s">
        <v>22</v>
      </c>
      <c r="K27"/>
    </row>
    <row r="28" spans="1:12" ht="31.5">
      <c r="A28" s="2" t="s">
        <v>39</v>
      </c>
      <c r="B28" s="12" t="s">
        <v>225</v>
      </c>
      <c r="C28" s="17" t="s">
        <v>37</v>
      </c>
      <c r="D28" s="18">
        <v>95604.6</v>
      </c>
      <c r="E28" s="18">
        <v>82862.956000000006</v>
      </c>
      <c r="F28" s="18">
        <f t="shared" si="3"/>
        <v>86.7</v>
      </c>
      <c r="G28" s="18">
        <f t="shared" si="1"/>
        <v>-12741.644</v>
      </c>
      <c r="H28" s="18">
        <v>2680.3780000000002</v>
      </c>
      <c r="I28" s="9">
        <f t="shared" si="2"/>
        <v>3091.5</v>
      </c>
      <c r="J28" t="s">
        <v>22</v>
      </c>
    </row>
    <row r="29" spans="1:12" ht="19.5" customHeight="1">
      <c r="A29" s="13" t="s">
        <v>41</v>
      </c>
      <c r="B29" s="21" t="s">
        <v>42</v>
      </c>
      <c r="C29" s="17" t="s">
        <v>37</v>
      </c>
      <c r="D29" s="18">
        <v>4980.3</v>
      </c>
      <c r="E29" s="18">
        <v>4903.2</v>
      </c>
      <c r="F29" s="18">
        <f t="shared" si="3"/>
        <v>98.5</v>
      </c>
      <c r="G29" s="18">
        <f t="shared" si="1"/>
        <v>-77.100000000000364</v>
      </c>
      <c r="H29" s="18">
        <v>4530.7</v>
      </c>
      <c r="I29" s="9">
        <f>IF(H29&gt;0,ROUND(E29/H29*100,1),0)</f>
        <v>108.2</v>
      </c>
      <c r="J29" t="s">
        <v>22</v>
      </c>
    </row>
    <row r="30" spans="1:12" ht="21.75" customHeight="1">
      <c r="A30" s="291" t="s">
        <v>43</v>
      </c>
      <c r="B30" s="292"/>
      <c r="C30" s="292"/>
      <c r="D30" s="292"/>
      <c r="E30" s="292"/>
      <c r="F30" s="292"/>
      <c r="G30" s="292"/>
      <c r="H30" s="292"/>
      <c r="I30" s="292"/>
    </row>
    <row r="31" spans="1:12" ht="32.25" hidden="1" customHeight="1" outlineLevel="1">
      <c r="A31" s="13" t="s">
        <v>44</v>
      </c>
      <c r="B31" s="17" t="s">
        <v>45</v>
      </c>
      <c r="C31" s="17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2" t="s">
        <v>47</v>
      </c>
      <c r="B32" s="12" t="s">
        <v>48</v>
      </c>
      <c r="C32" s="17" t="s">
        <v>37</v>
      </c>
      <c r="D32" s="23"/>
      <c r="E32" s="23"/>
      <c r="F32" s="23"/>
      <c r="G32" s="25"/>
      <c r="H32" s="18"/>
      <c r="I32" s="18">
        <f>IF(H32&gt;0,ROUND(E32/H32*100,1),0)</f>
        <v>0</v>
      </c>
    </row>
    <row r="33" spans="1:14" ht="15.75">
      <c r="A33" s="2" t="s">
        <v>49</v>
      </c>
      <c r="B33" s="3" t="s">
        <v>50</v>
      </c>
      <c r="C33" s="17" t="s">
        <v>37</v>
      </c>
      <c r="D33" s="26">
        <f>D39+D38</f>
        <v>120238.34731110001</v>
      </c>
      <c r="E33" s="26">
        <f>E39+E38</f>
        <v>143578.99999999991</v>
      </c>
      <c r="F33" s="26">
        <f t="shared" ref="F33" si="4">ROUND(E33/D33*100,1)</f>
        <v>119.4</v>
      </c>
      <c r="G33" s="26">
        <f t="shared" ref="G33" si="5">E33-D33</f>
        <v>23340.652688899907</v>
      </c>
      <c r="H33" s="26">
        <f>H35+H39+H43+H44+H45</f>
        <v>-53593.800000000017</v>
      </c>
      <c r="I33" s="26">
        <f t="shared" ref="I33:N33" si="6">I35+I39</f>
        <v>97.2</v>
      </c>
      <c r="J33" s="26" t="e">
        <f t="shared" si="6"/>
        <v>#VALUE!</v>
      </c>
      <c r="K33" s="26">
        <f t="shared" si="6"/>
        <v>0</v>
      </c>
      <c r="L33" s="26">
        <f t="shared" si="6"/>
        <v>0</v>
      </c>
      <c r="M33" s="26">
        <f t="shared" si="6"/>
        <v>0</v>
      </c>
      <c r="N33" s="26">
        <f t="shared" si="6"/>
        <v>0</v>
      </c>
    </row>
    <row r="34" spans="1:14" ht="15.75">
      <c r="A34" s="15"/>
      <c r="B34" s="16" t="s">
        <v>52</v>
      </c>
      <c r="C34" s="17" t="s">
        <v>37</v>
      </c>
      <c r="D34" s="18" t="s">
        <v>73</v>
      </c>
      <c r="E34" s="18" t="s">
        <v>73</v>
      </c>
      <c r="F34" s="18" t="s">
        <v>73</v>
      </c>
      <c r="G34" s="18" t="s">
        <v>73</v>
      </c>
      <c r="H34" s="28"/>
      <c r="I34" s="28"/>
    </row>
    <row r="35" spans="1:14" ht="15.75">
      <c r="A35" s="15"/>
      <c r="B35" s="29" t="s">
        <v>53</v>
      </c>
      <c r="C35" s="17" t="s">
        <v>37</v>
      </c>
      <c r="D35" s="18">
        <f>D38</f>
        <v>11231.084311099998</v>
      </c>
      <c r="E35" s="18">
        <f>E37</f>
        <v>0</v>
      </c>
      <c r="F35" s="18" t="s">
        <v>73</v>
      </c>
      <c r="G35" s="18" t="s">
        <v>73</v>
      </c>
      <c r="H35" s="28">
        <f>H37+H38</f>
        <v>-161800.70000000001</v>
      </c>
      <c r="I35" s="28">
        <f>IF(H35&gt;0,ROUND(E35/H35*100,1),0)</f>
        <v>0</v>
      </c>
      <c r="J35" t="s">
        <v>51</v>
      </c>
    </row>
    <row r="36" spans="1:14" ht="15.75">
      <c r="A36" s="15"/>
      <c r="B36" s="29" t="s">
        <v>54</v>
      </c>
      <c r="C36" s="17" t="s">
        <v>37</v>
      </c>
      <c r="D36" s="18" t="s">
        <v>73</v>
      </c>
      <c r="E36" s="18" t="s">
        <v>73</v>
      </c>
      <c r="F36" s="18" t="s">
        <v>73</v>
      </c>
      <c r="G36" s="18" t="s">
        <v>73</v>
      </c>
      <c r="H36" s="28"/>
      <c r="I36" s="28"/>
    </row>
    <row r="37" spans="1:14" ht="15.75">
      <c r="A37" s="15"/>
      <c r="B37" s="30" t="s">
        <v>55</v>
      </c>
      <c r="C37" s="17" t="s">
        <v>37</v>
      </c>
      <c r="D37" s="18" t="s">
        <v>73</v>
      </c>
      <c r="E37" s="18">
        <f>E97</f>
        <v>0</v>
      </c>
      <c r="F37" s="18" t="s">
        <v>73</v>
      </c>
      <c r="G37" s="18" t="s">
        <v>73</v>
      </c>
      <c r="H37" s="28">
        <v>-161800.70000000001</v>
      </c>
      <c r="I37" s="28"/>
    </row>
    <row r="38" spans="1:14" ht="15.75">
      <c r="A38" s="15"/>
      <c r="B38" s="30" t="s">
        <v>56</v>
      </c>
      <c r="C38" s="17" t="s">
        <v>37</v>
      </c>
      <c r="D38" s="18">
        <f>D96</f>
        <v>11231.084311099998</v>
      </c>
      <c r="E38" s="18">
        <f>E96</f>
        <v>38425.599999999919</v>
      </c>
      <c r="F38" s="18">
        <f t="shared" ref="F38:F39" si="7">ROUND(E38/D38*100,1)</f>
        <v>342.1</v>
      </c>
      <c r="G38" s="18">
        <f t="shared" ref="G38:G42" si="8">E38-D38</f>
        <v>27194.515688899919</v>
      </c>
      <c r="H38" s="28">
        <v>0</v>
      </c>
      <c r="I38" s="28"/>
    </row>
    <row r="39" spans="1:14" ht="15.75">
      <c r="A39" s="15"/>
      <c r="B39" s="29" t="s">
        <v>57</v>
      </c>
      <c r="C39" s="17" t="s">
        <v>37</v>
      </c>
      <c r="D39" s="28">
        <f>D129</f>
        <v>109007.26300000001</v>
      </c>
      <c r="E39" s="28">
        <v>105153.4</v>
      </c>
      <c r="F39" s="28">
        <f t="shared" si="7"/>
        <v>96.5</v>
      </c>
      <c r="G39" s="27">
        <f t="shared" si="8"/>
        <v>-3853.8630000000121</v>
      </c>
      <c r="H39" s="28">
        <v>108206.9</v>
      </c>
      <c r="I39" s="28">
        <f>IF(H39&gt;0,ROUND(E39/H39*100,1),0)</f>
        <v>97.2</v>
      </c>
      <c r="J39" t="s">
        <v>58</v>
      </c>
    </row>
    <row r="40" spans="1:14" ht="15.75">
      <c r="A40" s="15"/>
      <c r="B40" s="50" t="s">
        <v>59</v>
      </c>
      <c r="C40" s="17" t="s">
        <v>37</v>
      </c>
      <c r="D40" s="18" t="s">
        <v>73</v>
      </c>
      <c r="E40" s="18" t="s">
        <v>73</v>
      </c>
      <c r="F40" s="18" t="s">
        <v>73</v>
      </c>
      <c r="G40" s="18" t="s">
        <v>73</v>
      </c>
      <c r="H40" s="18" t="s">
        <v>73</v>
      </c>
      <c r="I40" s="18" t="s">
        <v>73</v>
      </c>
    </row>
    <row r="41" spans="1:14" ht="33.75" customHeight="1">
      <c r="A41" s="51"/>
      <c r="B41" s="50" t="s">
        <v>60</v>
      </c>
      <c r="C41" s="17" t="s">
        <v>37</v>
      </c>
      <c r="D41" s="18" t="s">
        <v>73</v>
      </c>
      <c r="E41" s="18" t="s">
        <v>73</v>
      </c>
      <c r="F41" s="18" t="s">
        <v>73</v>
      </c>
      <c r="G41" s="18" t="s">
        <v>73</v>
      </c>
      <c r="H41" s="18" t="s">
        <v>73</v>
      </c>
      <c r="I41" s="18" t="s">
        <v>73</v>
      </c>
      <c r="J41" t="s">
        <v>51</v>
      </c>
    </row>
    <row r="42" spans="1:14" ht="15.75" hidden="1" outlineLevel="1">
      <c r="A42" s="15"/>
      <c r="B42" s="29" t="s">
        <v>61</v>
      </c>
      <c r="C42" s="17" t="s">
        <v>37</v>
      </c>
      <c r="D42" s="18"/>
      <c r="E42" s="18"/>
      <c r="F42" s="23"/>
      <c r="G42" s="27">
        <f t="shared" si="8"/>
        <v>0</v>
      </c>
      <c r="H42" s="18"/>
      <c r="I42" s="18"/>
    </row>
    <row r="43" spans="1:14" ht="15.75" collapsed="1">
      <c r="A43" s="15"/>
      <c r="B43" s="50" t="s">
        <v>62</v>
      </c>
      <c r="C43" s="17" t="s">
        <v>37</v>
      </c>
      <c r="D43" s="18" t="s">
        <v>73</v>
      </c>
      <c r="E43" s="18" t="s">
        <v>73</v>
      </c>
      <c r="F43" s="18" t="s">
        <v>73</v>
      </c>
      <c r="G43" s="18" t="s">
        <v>73</v>
      </c>
      <c r="H43" s="18"/>
      <c r="I43" s="18" t="s">
        <v>73</v>
      </c>
    </row>
    <row r="44" spans="1:14" ht="15.75">
      <c r="A44" s="15"/>
      <c r="B44" s="50" t="s">
        <v>63</v>
      </c>
      <c r="C44" s="17" t="s">
        <v>37</v>
      </c>
      <c r="D44" s="18" t="s">
        <v>73</v>
      </c>
      <c r="E44" s="18" t="s">
        <v>73</v>
      </c>
      <c r="F44" s="18" t="s">
        <v>73</v>
      </c>
      <c r="G44" s="18" t="s">
        <v>73</v>
      </c>
      <c r="H44" s="18"/>
      <c r="I44" s="18" t="s">
        <v>73</v>
      </c>
    </row>
    <row r="45" spans="1:14" ht="15.75" customHeight="1">
      <c r="A45" s="15"/>
      <c r="B45" s="29" t="s">
        <v>64</v>
      </c>
      <c r="C45" s="17" t="s">
        <v>37</v>
      </c>
      <c r="D45" s="18" t="s">
        <v>73</v>
      </c>
      <c r="E45" s="18" t="s">
        <v>73</v>
      </c>
      <c r="F45" s="18" t="s">
        <v>73</v>
      </c>
      <c r="G45" s="18" t="s">
        <v>73</v>
      </c>
      <c r="H45" s="18"/>
      <c r="I45" s="18" t="s">
        <v>73</v>
      </c>
    </row>
    <row r="46" spans="1:14" ht="47.25" hidden="1" outlineLevel="1">
      <c r="A46" s="15"/>
      <c r="B46" s="16" t="s">
        <v>65</v>
      </c>
      <c r="C46" s="17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4" ht="15.75" collapsed="1">
      <c r="A47" s="293" t="s">
        <v>66</v>
      </c>
      <c r="B47" s="293"/>
      <c r="C47" s="293"/>
      <c r="D47" s="293"/>
      <c r="E47" s="293"/>
      <c r="F47" s="293"/>
      <c r="G47" s="293"/>
      <c r="H47" s="293"/>
      <c r="I47" s="293"/>
    </row>
    <row r="48" spans="1:14" ht="15.75">
      <c r="A48" s="15" t="s">
        <v>67</v>
      </c>
      <c r="B48" s="52" t="s">
        <v>68</v>
      </c>
      <c r="C48" s="15"/>
      <c r="D48" s="34"/>
      <c r="E48" s="34"/>
      <c r="F48" s="34"/>
      <c r="G48" s="34"/>
      <c r="H48" s="34"/>
      <c r="I48" s="34"/>
    </row>
    <row r="49" spans="1:10" ht="15.75" hidden="1" outlineLevel="1">
      <c r="A49" s="15"/>
      <c r="B49" s="16" t="s">
        <v>69</v>
      </c>
      <c r="C49" s="17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0" ht="15.75" hidden="1" outlineLevel="1">
      <c r="A50" s="15"/>
      <c r="B50" s="15" t="s">
        <v>12</v>
      </c>
      <c r="C50" s="17"/>
      <c r="D50" s="53"/>
      <c r="E50" s="53"/>
      <c r="F50" s="53"/>
      <c r="G50" s="53"/>
      <c r="H50" s="53"/>
      <c r="I50" s="53"/>
    </row>
    <row r="51" spans="1:10" ht="15.75" collapsed="1">
      <c r="A51" s="15"/>
      <c r="B51" s="29" t="s">
        <v>71</v>
      </c>
      <c r="C51" s="17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54" t="s">
        <v>73</v>
      </c>
      <c r="I51" s="18" t="s">
        <v>73</v>
      </c>
    </row>
    <row r="52" spans="1:10" ht="15.75" hidden="1" outlineLevel="1">
      <c r="A52" s="15"/>
      <c r="B52" s="16" t="s">
        <v>74</v>
      </c>
      <c r="C52" s="17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0" ht="15.75" hidden="1" outlineLevel="1">
      <c r="A53" s="15"/>
      <c r="B53" s="16" t="s">
        <v>75</v>
      </c>
      <c r="C53" s="17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0" ht="15.75" collapsed="1">
      <c r="A54" s="15" t="s">
        <v>76</v>
      </c>
      <c r="B54" s="52" t="s">
        <v>77</v>
      </c>
      <c r="C54" s="17"/>
      <c r="D54" s="53"/>
      <c r="E54" s="53"/>
      <c r="F54" s="53"/>
      <c r="G54" s="53"/>
      <c r="H54" s="53"/>
      <c r="I54" s="53"/>
    </row>
    <row r="55" spans="1:10" ht="15.75">
      <c r="A55" s="15"/>
      <c r="B55" s="29" t="s">
        <v>78</v>
      </c>
      <c r="C55" s="17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0" ht="15.75" hidden="1" outlineLevel="1">
      <c r="A56" s="15"/>
      <c r="B56" s="16" t="s">
        <v>80</v>
      </c>
      <c r="C56" s="17" t="s">
        <v>81</v>
      </c>
      <c r="D56" s="55"/>
      <c r="E56" s="53"/>
      <c r="F56" s="53"/>
      <c r="G56" s="53"/>
      <c r="H56" s="53"/>
      <c r="I56" s="53"/>
    </row>
    <row r="57" spans="1:10" ht="24.75" hidden="1" customHeight="1" outlineLevel="1">
      <c r="A57" s="15"/>
      <c r="B57" s="16" t="s">
        <v>82</v>
      </c>
      <c r="C57" s="17" t="s">
        <v>81</v>
      </c>
      <c r="D57" s="56">
        <v>0</v>
      </c>
      <c r="E57" s="56"/>
      <c r="F57" s="56"/>
      <c r="G57" s="56"/>
      <c r="H57" s="56"/>
      <c r="I57" s="56"/>
    </row>
    <row r="58" spans="1:10" ht="15.75" collapsed="1">
      <c r="A58" s="294" t="s">
        <v>83</v>
      </c>
      <c r="B58" s="294"/>
      <c r="C58" s="294"/>
      <c r="D58" s="294"/>
      <c r="E58" s="294"/>
      <c r="F58" s="294"/>
      <c r="G58" s="294"/>
      <c r="H58" s="294"/>
      <c r="I58" s="294"/>
    </row>
    <row r="59" spans="1:10" ht="15.75">
      <c r="A59" s="15" t="s">
        <v>84</v>
      </c>
      <c r="B59" s="16" t="s">
        <v>85</v>
      </c>
      <c r="C59" s="17" t="s">
        <v>86</v>
      </c>
      <c r="D59" s="28">
        <v>6243</v>
      </c>
      <c r="E59" s="28">
        <v>5813</v>
      </c>
      <c r="F59" s="28">
        <f>ROUND(E59/D59*100,1)</f>
        <v>93.1</v>
      </c>
      <c r="G59" s="28">
        <f>E59-D59</f>
        <v>-430</v>
      </c>
      <c r="H59" s="28">
        <v>6098</v>
      </c>
      <c r="I59" s="28">
        <f t="shared" ref="I59:I64" si="9">IF(H59&gt;0,ROUND(E59/H59*100,1),0)</f>
        <v>95.3</v>
      </c>
      <c r="J59" t="s">
        <v>87</v>
      </c>
    </row>
    <row r="60" spans="1:10" ht="31.5" hidden="1" outlineLevel="1">
      <c r="A60" s="15" t="s">
        <v>88</v>
      </c>
      <c r="B60" s="16" t="s">
        <v>89</v>
      </c>
      <c r="C60" s="17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9"/>
        <v>0</v>
      </c>
    </row>
    <row r="61" spans="1:10" ht="15.75" collapsed="1">
      <c r="A61" s="15" t="s">
        <v>91</v>
      </c>
      <c r="B61" s="16" t="s">
        <v>92</v>
      </c>
      <c r="C61" s="17" t="s">
        <v>37</v>
      </c>
      <c r="D61" s="33">
        <v>187039.5</v>
      </c>
      <c r="E61" s="33">
        <v>194395</v>
      </c>
      <c r="F61" s="28">
        <f>ROUND(E61/D61*100,1)</f>
        <v>103.9</v>
      </c>
      <c r="G61" s="28">
        <f>E61-D61</f>
        <v>7355.5</v>
      </c>
      <c r="H61" s="33">
        <v>145440.79999999999</v>
      </c>
      <c r="I61" s="28">
        <f t="shared" si="9"/>
        <v>133.69999999999999</v>
      </c>
      <c r="J61" t="s">
        <v>87</v>
      </c>
    </row>
    <row r="62" spans="1:10" ht="15.75">
      <c r="A62" s="15" t="s">
        <v>93</v>
      </c>
      <c r="B62" s="16" t="s">
        <v>94</v>
      </c>
      <c r="C62" s="17" t="s">
        <v>95</v>
      </c>
      <c r="D62" s="28">
        <v>3328.9</v>
      </c>
      <c r="E62" s="28">
        <v>3709.1</v>
      </c>
      <c r="F62" s="28">
        <f>ROUND(E62/D62*100,1)</f>
        <v>111.4</v>
      </c>
      <c r="G62" s="28">
        <f>E62-D62</f>
        <v>380.19999999999982</v>
      </c>
      <c r="H62" s="28">
        <v>2643.7</v>
      </c>
      <c r="I62" s="28">
        <f t="shared" si="9"/>
        <v>140.30000000000001</v>
      </c>
      <c r="J62" t="s">
        <v>87</v>
      </c>
    </row>
    <row r="63" spans="1:10" ht="15.75">
      <c r="A63" s="15" t="s">
        <v>96</v>
      </c>
      <c r="B63" s="16" t="s">
        <v>97</v>
      </c>
      <c r="C63" s="17" t="s">
        <v>37</v>
      </c>
      <c r="D63" s="18"/>
      <c r="E63" s="18">
        <v>1096113.5</v>
      </c>
      <c r="F63" s="28"/>
      <c r="G63" s="18"/>
      <c r="H63" s="18">
        <v>1273512</v>
      </c>
      <c r="I63" s="18">
        <f t="shared" si="9"/>
        <v>86.1</v>
      </c>
      <c r="J63" t="s">
        <v>58</v>
      </c>
    </row>
    <row r="64" spans="1:10" ht="15.75" hidden="1" outlineLevel="1">
      <c r="A64" s="15" t="s">
        <v>98</v>
      </c>
      <c r="B64" s="16" t="s">
        <v>99</v>
      </c>
      <c r="C64" s="17" t="s">
        <v>37</v>
      </c>
      <c r="D64" s="58"/>
      <c r="E64" s="58"/>
      <c r="F64" s="59"/>
      <c r="G64" s="58"/>
      <c r="H64" s="58"/>
      <c r="I64" s="59">
        <f t="shared" si="9"/>
        <v>0</v>
      </c>
      <c r="J64" s="31"/>
    </row>
    <row r="65" spans="1:13" ht="15.75" collapsed="1">
      <c r="A65" s="15" t="s">
        <v>100</v>
      </c>
      <c r="B65" s="16" t="s">
        <v>101</v>
      </c>
      <c r="C65" s="17" t="s">
        <v>102</v>
      </c>
      <c r="D65" s="28">
        <f>'[10]9месяцев'!$F$14</f>
        <v>156097.29999999999</v>
      </c>
      <c r="E65" s="28">
        <v>146943.54</v>
      </c>
      <c r="F65" s="28">
        <f>ROUND(E65/D65*100,1)</f>
        <v>94.1</v>
      </c>
      <c r="G65" s="28">
        <f>E65-D65</f>
        <v>-9153.7599999999802</v>
      </c>
      <c r="H65" s="28">
        <v>160250.29999999999</v>
      </c>
      <c r="I65" s="28">
        <f>ROUND(E65/H65*100,1)</f>
        <v>91.7</v>
      </c>
      <c r="J65" t="s">
        <v>103</v>
      </c>
    </row>
    <row r="66" spans="1:13" ht="15.75" hidden="1" outlineLevel="1">
      <c r="A66" s="15"/>
      <c r="B66" s="15" t="s">
        <v>12</v>
      </c>
      <c r="C66" s="17"/>
      <c r="D66" s="53"/>
      <c r="E66" s="53"/>
      <c r="F66" s="53"/>
      <c r="G66" s="53"/>
      <c r="H66" s="53"/>
      <c r="I66" s="53"/>
    </row>
    <row r="67" spans="1:13" ht="15.75" hidden="1" outlineLevel="1">
      <c r="A67" s="15"/>
      <c r="B67" s="16" t="s">
        <v>104</v>
      </c>
      <c r="C67" s="17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15"/>
      <c r="B68" s="16" t="s">
        <v>105</v>
      </c>
      <c r="C68" s="17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94" t="s">
        <v>106</v>
      </c>
      <c r="B69" s="294"/>
      <c r="C69" s="294"/>
      <c r="D69" s="294"/>
      <c r="E69" s="294"/>
      <c r="F69" s="294"/>
      <c r="G69" s="294"/>
      <c r="H69" s="294"/>
      <c r="I69" s="294"/>
    </row>
    <row r="70" spans="1:13" ht="15.75">
      <c r="A70" s="15" t="s">
        <v>107</v>
      </c>
      <c r="B70" s="16" t="s">
        <v>108</v>
      </c>
      <c r="C70" s="17" t="s">
        <v>37</v>
      </c>
      <c r="D70" s="28">
        <f>'[10]9месяцев'!$B$104/1000</f>
        <v>783069.51300000004</v>
      </c>
      <c r="E70" s="18">
        <v>874546.6</v>
      </c>
      <c r="F70" s="18">
        <f t="shared" ref="F70:F96" si="10">ROUND(E70/D70*100,1)</f>
        <v>111.7</v>
      </c>
      <c r="G70" s="18">
        <f t="shared" ref="G70:G96" si="11">E70-D70</f>
        <v>91477.086999999941</v>
      </c>
      <c r="H70" s="18">
        <v>388214.9</v>
      </c>
      <c r="I70" s="18">
        <f t="shared" ref="I70:I85" si="12">ROUND(E70/H70*100,1)</f>
        <v>225.3</v>
      </c>
      <c r="J70" t="s">
        <v>103</v>
      </c>
      <c r="M70">
        <f>1759313-152984-76292-1017231</f>
        <v>512806</v>
      </c>
    </row>
    <row r="71" spans="1:13" ht="15.75">
      <c r="A71" s="15" t="s">
        <v>109</v>
      </c>
      <c r="B71" s="16" t="s">
        <v>110</v>
      </c>
      <c r="C71" s="17" t="s">
        <v>37</v>
      </c>
      <c r="D71" s="28">
        <f>'[10]9месяцев'!$B$105/1000</f>
        <v>545616.16235400003</v>
      </c>
      <c r="E71" s="18">
        <v>566380.80000000005</v>
      </c>
      <c r="F71" s="18">
        <f t="shared" si="10"/>
        <v>103.8</v>
      </c>
      <c r="G71" s="18">
        <f t="shared" si="11"/>
        <v>20764.637646000017</v>
      </c>
      <c r="H71" s="18">
        <v>305491.59999999998</v>
      </c>
      <c r="I71" s="18">
        <f t="shared" si="12"/>
        <v>185.4</v>
      </c>
      <c r="J71" t="s">
        <v>103</v>
      </c>
    </row>
    <row r="72" spans="1:13" ht="15.75">
      <c r="A72" s="15" t="s">
        <v>111</v>
      </c>
      <c r="B72" s="16" t="s">
        <v>112</v>
      </c>
      <c r="C72" s="17" t="s">
        <v>37</v>
      </c>
      <c r="D72" s="33">
        <f>D70-D71</f>
        <v>237453.35064600001</v>
      </c>
      <c r="E72" s="33">
        <f>E70-E71</f>
        <v>308165.79999999993</v>
      </c>
      <c r="F72" s="34">
        <f t="shared" si="10"/>
        <v>129.80000000000001</v>
      </c>
      <c r="G72" s="18">
        <f t="shared" si="11"/>
        <v>70712.449353999924</v>
      </c>
      <c r="H72" s="34">
        <v>82723.399999999994</v>
      </c>
      <c r="I72" s="34">
        <f t="shared" si="12"/>
        <v>372.5</v>
      </c>
      <c r="J72" t="s">
        <v>103</v>
      </c>
      <c r="M72" s="11">
        <f>D72-D73</f>
        <v>132322.024366</v>
      </c>
    </row>
    <row r="73" spans="1:13" ht="15.75">
      <c r="A73" s="15"/>
      <c r="B73" s="52" t="s">
        <v>113</v>
      </c>
      <c r="C73" s="17" t="s">
        <v>37</v>
      </c>
      <c r="D73" s="26">
        <f>D74+D75+D76</f>
        <v>105131.32628000001</v>
      </c>
      <c r="E73" s="6">
        <f>E74+E75+E76</f>
        <v>137571.70000000001</v>
      </c>
      <c r="F73" s="6">
        <f t="shared" si="10"/>
        <v>130.9</v>
      </c>
      <c r="G73" s="6">
        <f t="shared" si="11"/>
        <v>32440.373720000003</v>
      </c>
      <c r="H73" s="26">
        <v>125034.3</v>
      </c>
      <c r="I73" s="6">
        <f t="shared" si="12"/>
        <v>110</v>
      </c>
      <c r="J73" t="s">
        <v>103</v>
      </c>
      <c r="M73" s="11">
        <f>M72+D77</f>
        <v>133213.040366</v>
      </c>
    </row>
    <row r="74" spans="1:13" ht="15.75">
      <c r="A74" s="15"/>
      <c r="B74" s="61" t="s">
        <v>114</v>
      </c>
      <c r="C74" s="17" t="s">
        <v>37</v>
      </c>
      <c r="D74" s="28">
        <f>'[10]9месяцев'!$B$110/1000</f>
        <v>4006.4082800000001</v>
      </c>
      <c r="E74" s="34">
        <v>5318.7</v>
      </c>
      <c r="F74" s="34">
        <f t="shared" si="10"/>
        <v>132.80000000000001</v>
      </c>
      <c r="G74" s="18">
        <f t="shared" si="11"/>
        <v>1312.2917199999997</v>
      </c>
      <c r="H74" s="34">
        <v>28525.599999999999</v>
      </c>
      <c r="I74" s="34">
        <f t="shared" si="12"/>
        <v>18.600000000000001</v>
      </c>
      <c r="J74" t="s">
        <v>103</v>
      </c>
    </row>
    <row r="75" spans="1:13" ht="15.75">
      <c r="A75" s="15"/>
      <c r="B75" s="61" t="s">
        <v>115</v>
      </c>
      <c r="C75" s="17" t="s">
        <v>37</v>
      </c>
      <c r="D75" s="28">
        <f>'[10]9месяцев'!$B$126/1000</f>
        <v>41318.372400000007</v>
      </c>
      <c r="E75" s="18">
        <v>39133.5</v>
      </c>
      <c r="F75" s="18">
        <f t="shared" si="10"/>
        <v>94.7</v>
      </c>
      <c r="G75" s="18">
        <f t="shared" si="11"/>
        <v>-2184.8724000000075</v>
      </c>
      <c r="H75" s="18">
        <v>31442.400000000001</v>
      </c>
      <c r="I75" s="18">
        <f t="shared" si="12"/>
        <v>124.5</v>
      </c>
      <c r="J75" t="s">
        <v>103</v>
      </c>
    </row>
    <row r="76" spans="1:13" ht="15.75">
      <c r="A76" s="15"/>
      <c r="B76" s="61" t="s">
        <v>116</v>
      </c>
      <c r="C76" s="17" t="s">
        <v>37</v>
      </c>
      <c r="D76" s="28">
        <f>'[10]9месяцев'!$B$197/1000</f>
        <v>59806.545600000005</v>
      </c>
      <c r="E76" s="18">
        <v>93119.5</v>
      </c>
      <c r="F76" s="18">
        <f t="shared" si="10"/>
        <v>155.69999999999999</v>
      </c>
      <c r="G76" s="18">
        <f t="shared" si="11"/>
        <v>33312.954399999995</v>
      </c>
      <c r="H76" s="18">
        <v>65066.3</v>
      </c>
      <c r="I76" s="18">
        <f t="shared" si="12"/>
        <v>143.1</v>
      </c>
      <c r="J76" t="s">
        <v>103</v>
      </c>
    </row>
    <row r="77" spans="1:13" ht="15.75">
      <c r="A77" s="15"/>
      <c r="B77" s="16" t="s">
        <v>117</v>
      </c>
      <c r="C77" s="17" t="s">
        <v>37</v>
      </c>
      <c r="D77" s="28">
        <f>'[10]9месяцев'!$B$288/1000</f>
        <v>891.01599999999996</v>
      </c>
      <c r="E77" s="18">
        <v>28127.7</v>
      </c>
      <c r="F77" s="18"/>
      <c r="G77" s="18">
        <f t="shared" si="11"/>
        <v>27236.684000000001</v>
      </c>
      <c r="H77" s="18">
        <v>13818</v>
      </c>
      <c r="I77" s="18">
        <f t="shared" si="12"/>
        <v>203.6</v>
      </c>
      <c r="J77" t="s">
        <v>103</v>
      </c>
    </row>
    <row r="78" spans="1:13" ht="15.75">
      <c r="A78" s="15"/>
      <c r="B78" s="16" t="s">
        <v>118</v>
      </c>
      <c r="C78" s="17" t="s">
        <v>37</v>
      </c>
      <c r="D78" s="28">
        <v>120000</v>
      </c>
      <c r="E78" s="18">
        <v>160296.20000000001</v>
      </c>
      <c r="F78" s="18">
        <f t="shared" si="10"/>
        <v>133.6</v>
      </c>
      <c r="G78" s="18">
        <f t="shared" si="11"/>
        <v>40296.200000000012</v>
      </c>
      <c r="H78" s="18">
        <v>143225.29999999999</v>
      </c>
      <c r="I78" s="18">
        <f t="shared" si="12"/>
        <v>111.9</v>
      </c>
      <c r="J78" t="s">
        <v>103</v>
      </c>
    </row>
    <row r="79" spans="1:13" ht="15.75" hidden="1" outlineLevel="1">
      <c r="A79" s="15"/>
      <c r="B79" s="16" t="s">
        <v>119</v>
      </c>
      <c r="C79" s="17" t="s">
        <v>37</v>
      </c>
      <c r="D79" s="33"/>
      <c r="E79" s="34"/>
      <c r="F79" s="18" t="e">
        <f t="shared" si="10"/>
        <v>#DIV/0!</v>
      </c>
      <c r="G79" s="18">
        <f t="shared" si="11"/>
        <v>0</v>
      </c>
      <c r="H79" s="58"/>
      <c r="I79" s="18" t="e">
        <f t="shared" si="12"/>
        <v>#DIV/0!</v>
      </c>
    </row>
    <row r="80" spans="1:13" ht="15.75" hidden="1" outlineLevel="1">
      <c r="A80" s="15"/>
      <c r="B80" s="16" t="s">
        <v>120</v>
      </c>
      <c r="C80" s="17" t="s">
        <v>37</v>
      </c>
      <c r="D80" s="33"/>
      <c r="E80" s="34"/>
      <c r="F80" s="18" t="e">
        <f t="shared" si="10"/>
        <v>#DIV/0!</v>
      </c>
      <c r="G80" s="18">
        <f t="shared" si="11"/>
        <v>0</v>
      </c>
      <c r="H80" s="58"/>
      <c r="I80" s="18" t="e">
        <f t="shared" si="12"/>
        <v>#DIV/0!</v>
      </c>
    </row>
    <row r="81" spans="1:10" ht="15.75" hidden="1" outlineLevel="1">
      <c r="A81" s="15"/>
      <c r="B81" s="16" t="s">
        <v>121</v>
      </c>
      <c r="C81" s="17" t="s">
        <v>37</v>
      </c>
      <c r="D81" s="33"/>
      <c r="E81" s="34"/>
      <c r="F81" s="18" t="e">
        <f t="shared" si="10"/>
        <v>#DIV/0!</v>
      </c>
      <c r="G81" s="18">
        <f t="shared" si="11"/>
        <v>0</v>
      </c>
      <c r="H81" s="58"/>
      <c r="I81" s="18" t="e">
        <f t="shared" si="12"/>
        <v>#DIV/0!</v>
      </c>
    </row>
    <row r="82" spans="1:10" ht="15.75" hidden="1" outlineLevel="1">
      <c r="A82" s="15"/>
      <c r="B82" s="16" t="s">
        <v>122</v>
      </c>
      <c r="C82" s="17" t="s">
        <v>37</v>
      </c>
      <c r="D82" s="33"/>
      <c r="E82" s="34"/>
      <c r="F82" s="18" t="e">
        <f t="shared" si="10"/>
        <v>#DIV/0!</v>
      </c>
      <c r="G82" s="18">
        <f t="shared" si="11"/>
        <v>0</v>
      </c>
      <c r="H82" s="58"/>
      <c r="I82" s="18" t="e">
        <f t="shared" si="12"/>
        <v>#DIV/0!</v>
      </c>
    </row>
    <row r="83" spans="1:10" ht="15.75" hidden="1" outlineLevel="1">
      <c r="A83" s="15"/>
      <c r="B83" s="16" t="s">
        <v>123</v>
      </c>
      <c r="C83" s="17" t="s">
        <v>37</v>
      </c>
      <c r="D83" s="33"/>
      <c r="E83" s="34"/>
      <c r="F83" s="18" t="e">
        <f t="shared" si="10"/>
        <v>#DIV/0!</v>
      </c>
      <c r="G83" s="18">
        <f t="shared" si="11"/>
        <v>0</v>
      </c>
      <c r="H83" s="58"/>
      <c r="I83" s="18" t="e">
        <f t="shared" si="12"/>
        <v>#DIV/0!</v>
      </c>
    </row>
    <row r="84" spans="1:10" ht="15.75" hidden="1" outlineLevel="1">
      <c r="A84" s="15"/>
      <c r="B84" s="16" t="s">
        <v>121</v>
      </c>
      <c r="C84" s="17" t="s">
        <v>37</v>
      </c>
      <c r="D84" s="33"/>
      <c r="E84" s="34"/>
      <c r="F84" s="18" t="e">
        <f t="shared" si="10"/>
        <v>#DIV/0!</v>
      </c>
      <c r="G84" s="18">
        <f t="shared" si="11"/>
        <v>0</v>
      </c>
      <c r="H84" s="58"/>
      <c r="I84" s="18" t="e">
        <f t="shared" si="12"/>
        <v>#DIV/0!</v>
      </c>
    </row>
    <row r="85" spans="1:10" ht="15.75" hidden="1" outlineLevel="1">
      <c r="A85" s="15"/>
      <c r="B85" s="16" t="s">
        <v>122</v>
      </c>
      <c r="C85" s="17" t="s">
        <v>37</v>
      </c>
      <c r="D85" s="33"/>
      <c r="E85" s="34"/>
      <c r="F85" s="18" t="e">
        <f t="shared" si="10"/>
        <v>#DIV/0!</v>
      </c>
      <c r="G85" s="18">
        <f t="shared" si="11"/>
        <v>0</v>
      </c>
      <c r="H85" s="58"/>
      <c r="I85" s="18" t="e">
        <f t="shared" si="12"/>
        <v>#DIV/0!</v>
      </c>
    </row>
    <row r="86" spans="1:10" ht="15.75" hidden="1" outlineLevel="1" collapsed="1">
      <c r="A86" s="15"/>
      <c r="B86" s="16" t="s">
        <v>124</v>
      </c>
      <c r="C86" s="17" t="s">
        <v>37</v>
      </c>
      <c r="D86" s="28"/>
      <c r="E86" s="34"/>
      <c r="F86" s="18" t="e">
        <f t="shared" si="10"/>
        <v>#DIV/0!</v>
      </c>
      <c r="G86" s="18">
        <f t="shared" si="11"/>
        <v>0</v>
      </c>
      <c r="H86" s="58"/>
      <c r="I86" s="18"/>
    </row>
    <row r="87" spans="1:10" ht="15.75" hidden="1" outlineLevel="1">
      <c r="A87" s="15"/>
      <c r="B87" s="16" t="s">
        <v>121</v>
      </c>
      <c r="C87" s="17" t="s">
        <v>37</v>
      </c>
      <c r="D87" s="28"/>
      <c r="E87" s="34"/>
      <c r="F87" s="18" t="e">
        <f t="shared" si="10"/>
        <v>#DIV/0!</v>
      </c>
      <c r="G87" s="18">
        <f t="shared" si="11"/>
        <v>0</v>
      </c>
      <c r="H87" s="58"/>
      <c r="I87" s="18" t="e">
        <f>ROUND(E87/H87*100,1)</f>
        <v>#DIV/0!</v>
      </c>
    </row>
    <row r="88" spans="1:10" ht="15.75" hidden="1" outlineLevel="1">
      <c r="A88" s="15"/>
      <c r="B88" s="16" t="s">
        <v>122</v>
      </c>
      <c r="C88" s="17" t="s">
        <v>37</v>
      </c>
      <c r="D88" s="33"/>
      <c r="E88" s="34"/>
      <c r="F88" s="18" t="e">
        <f t="shared" si="10"/>
        <v>#DIV/0!</v>
      </c>
      <c r="G88" s="18">
        <f t="shared" si="11"/>
        <v>0</v>
      </c>
      <c r="H88" s="58"/>
      <c r="I88" s="18"/>
    </row>
    <row r="89" spans="1:10" ht="15.75" collapsed="1">
      <c r="A89" s="15"/>
      <c r="B89" s="16" t="s">
        <v>125</v>
      </c>
      <c r="C89" s="17" t="s">
        <v>37</v>
      </c>
      <c r="D89" s="26">
        <f>D72-D73-D78+D77</f>
        <v>13213.040365999997</v>
      </c>
      <c r="E89" s="26">
        <f>E72-E73+E77-E78</f>
        <v>38425.599999999919</v>
      </c>
      <c r="F89" s="6">
        <f t="shared" si="10"/>
        <v>290.8</v>
      </c>
      <c r="G89" s="6">
        <f t="shared" si="11"/>
        <v>25212.559633999921</v>
      </c>
      <c r="H89" s="62">
        <v>-161800.70000000001</v>
      </c>
      <c r="I89" s="6">
        <f t="shared" ref="I89:I96" si="13">ROUND(E89/H89*100,1)</f>
        <v>-23.7</v>
      </c>
      <c r="J89" t="s">
        <v>103</v>
      </c>
    </row>
    <row r="90" spans="1:10" ht="17.25" customHeight="1">
      <c r="A90" s="15"/>
      <c r="B90" s="16" t="s">
        <v>126</v>
      </c>
      <c r="C90" s="17" t="s">
        <v>37</v>
      </c>
      <c r="D90" s="28" t="s">
        <v>73</v>
      </c>
      <c r="E90" s="18" t="s">
        <v>73</v>
      </c>
      <c r="F90" s="18" t="s">
        <v>73</v>
      </c>
      <c r="G90" s="18" t="s">
        <v>73</v>
      </c>
      <c r="H90" s="18" t="s">
        <v>73</v>
      </c>
      <c r="I90" s="18" t="s">
        <v>73</v>
      </c>
      <c r="J90" t="s">
        <v>103</v>
      </c>
    </row>
    <row r="91" spans="1:10" ht="17.25" hidden="1" customHeight="1" outlineLevel="1">
      <c r="A91" s="15"/>
      <c r="B91" s="16" t="s">
        <v>127</v>
      </c>
      <c r="C91" s="17" t="s">
        <v>37</v>
      </c>
      <c r="D91" s="28">
        <f>'[1]1 квартал'!$B$297/1000</f>
        <v>15.822778173897415</v>
      </c>
      <c r="E91" s="34"/>
      <c r="F91" s="18"/>
      <c r="G91" s="18">
        <f t="shared" si="11"/>
        <v>-15.822778173897415</v>
      </c>
      <c r="H91" s="34"/>
      <c r="I91" s="18"/>
    </row>
    <row r="92" spans="1:10" ht="15.75" collapsed="1">
      <c r="A92" s="15"/>
      <c r="B92" s="16" t="s">
        <v>128</v>
      </c>
      <c r="C92" s="17" t="s">
        <v>37</v>
      </c>
      <c r="D92" s="28">
        <f>D89</f>
        <v>13213.040365999997</v>
      </c>
      <c r="E92" s="34">
        <f>E89</f>
        <v>38425.599999999919</v>
      </c>
      <c r="F92" s="18">
        <f t="shared" si="10"/>
        <v>290.8</v>
      </c>
      <c r="G92" s="18">
        <f t="shared" si="11"/>
        <v>25212.559633999921</v>
      </c>
      <c r="H92" s="34"/>
      <c r="I92" s="18"/>
      <c r="J92" t="s">
        <v>103</v>
      </c>
    </row>
    <row r="93" spans="1:10" ht="17.25" customHeight="1">
      <c r="A93" s="15"/>
      <c r="B93" s="16" t="s">
        <v>129</v>
      </c>
      <c r="C93" s="17" t="s">
        <v>37</v>
      </c>
      <c r="D93" s="33">
        <f>D92*15%</f>
        <v>1981.9560548999996</v>
      </c>
      <c r="E93" s="34">
        <v>95.885999999999996</v>
      </c>
      <c r="F93" s="18">
        <f t="shared" si="10"/>
        <v>4.8</v>
      </c>
      <c r="G93" s="18">
        <f t="shared" si="11"/>
        <v>-1886.0700548999996</v>
      </c>
      <c r="H93" s="34"/>
      <c r="I93" s="18"/>
      <c r="J93" t="s">
        <v>103</v>
      </c>
    </row>
    <row r="94" spans="1:10" ht="15.75" hidden="1" outlineLevel="1">
      <c r="A94" s="15"/>
      <c r="B94" s="16" t="s">
        <v>130</v>
      </c>
      <c r="C94" s="17" t="s">
        <v>37</v>
      </c>
      <c r="D94" s="33"/>
      <c r="E94" s="34"/>
      <c r="F94" s="18" t="e">
        <f t="shared" si="10"/>
        <v>#DIV/0!</v>
      </c>
      <c r="G94" s="18">
        <f t="shared" si="11"/>
        <v>0</v>
      </c>
      <c r="H94" s="34">
        <v>0</v>
      </c>
      <c r="I94" s="18" t="e">
        <f t="shared" si="13"/>
        <v>#DIV/0!</v>
      </c>
      <c r="J94" t="s">
        <v>103</v>
      </c>
    </row>
    <row r="95" spans="1:10" ht="15.75" hidden="1" outlineLevel="2">
      <c r="A95" s="15"/>
      <c r="B95" s="16" t="s">
        <v>131</v>
      </c>
      <c r="C95" s="17" t="s">
        <v>37</v>
      </c>
      <c r="D95" s="33"/>
      <c r="E95" s="34"/>
      <c r="F95" s="18" t="e">
        <f t="shared" si="10"/>
        <v>#DIV/0!</v>
      </c>
      <c r="G95" s="18">
        <f t="shared" si="11"/>
        <v>0</v>
      </c>
      <c r="H95" s="34"/>
      <c r="I95" s="18" t="e">
        <f t="shared" si="13"/>
        <v>#DIV/0!</v>
      </c>
    </row>
    <row r="96" spans="1:10" ht="15.75" collapsed="1">
      <c r="A96" s="15"/>
      <c r="B96" s="16" t="s">
        <v>132</v>
      </c>
      <c r="C96" s="17" t="s">
        <v>37</v>
      </c>
      <c r="D96" s="33">
        <f>D92-D93</f>
        <v>11231.084311099998</v>
      </c>
      <c r="E96" s="34">
        <f>E92</f>
        <v>38425.599999999919</v>
      </c>
      <c r="F96" s="18">
        <f t="shared" si="10"/>
        <v>342.1</v>
      </c>
      <c r="G96" s="18">
        <f t="shared" si="11"/>
        <v>27194.515688899919</v>
      </c>
      <c r="H96" s="34">
        <f>H89</f>
        <v>-161800.70000000001</v>
      </c>
      <c r="I96" s="18">
        <f t="shared" si="13"/>
        <v>-23.7</v>
      </c>
      <c r="J96" t="s">
        <v>103</v>
      </c>
    </row>
    <row r="97" spans="1:12" ht="15.75" hidden="1" outlineLevel="1">
      <c r="A97" s="15"/>
      <c r="B97" s="64" t="s">
        <v>133</v>
      </c>
      <c r="C97" s="65"/>
      <c r="D97" s="66"/>
      <c r="E97" s="66"/>
      <c r="F97" s="66"/>
      <c r="G97" s="66"/>
      <c r="H97" s="23"/>
      <c r="I97" s="66"/>
    </row>
    <row r="98" spans="1:12" ht="15.75" hidden="1" outlineLevel="1">
      <c r="A98" s="15"/>
      <c r="B98" s="16" t="s">
        <v>134</v>
      </c>
      <c r="C98" s="17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15"/>
      <c r="B99" s="16" t="s">
        <v>135</v>
      </c>
      <c r="C99" s="17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67"/>
      <c r="B100" s="68" t="s">
        <v>119</v>
      </c>
      <c r="C100" s="69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15" t="s">
        <v>136</v>
      </c>
      <c r="B101" s="52" t="s">
        <v>137</v>
      </c>
      <c r="C101" s="17"/>
      <c r="D101" s="34"/>
      <c r="E101" s="34"/>
      <c r="F101" s="18"/>
      <c r="G101" s="18"/>
      <c r="H101" s="34"/>
      <c r="I101" s="18"/>
    </row>
    <row r="102" spans="1:12" ht="15.75">
      <c r="A102" s="15"/>
      <c r="B102" s="29" t="s">
        <v>138</v>
      </c>
      <c r="C102" s="17" t="s">
        <v>37</v>
      </c>
      <c r="D102" s="6">
        <f>D103+D106</f>
        <v>77884.956054900002</v>
      </c>
      <c r="E102" s="6">
        <f>E103+E106</f>
        <v>75998.885999999999</v>
      </c>
      <c r="F102" s="6">
        <f>ROUND(E102/D102*100,1)</f>
        <v>97.6</v>
      </c>
      <c r="G102" s="6">
        <f>E102-D102</f>
        <v>-1886.070054900003</v>
      </c>
      <c r="H102" s="6">
        <f>H103+H106</f>
        <v>32588.400000000001</v>
      </c>
      <c r="I102" s="6">
        <f>ROUND(E102/H102*100,1)</f>
        <v>233.2</v>
      </c>
      <c r="J102" s="11" t="s">
        <v>139</v>
      </c>
    </row>
    <row r="103" spans="1:12" ht="15.75">
      <c r="A103" s="15"/>
      <c r="B103" s="61" t="s">
        <v>140</v>
      </c>
      <c r="C103" s="17" t="s">
        <v>37</v>
      </c>
      <c r="D103" s="34">
        <f>D93</f>
        <v>1981.9560548999996</v>
      </c>
      <c r="E103" s="34">
        <f>E93</f>
        <v>95.885999999999996</v>
      </c>
      <c r="F103" s="18">
        <f>ROUND(E103/D103*100,1)</f>
        <v>4.8</v>
      </c>
      <c r="G103" s="18">
        <f>E103-D103</f>
        <v>-1886.0700548999996</v>
      </c>
      <c r="H103" s="34"/>
      <c r="I103" s="18"/>
      <c r="J103" s="11" t="s">
        <v>139</v>
      </c>
    </row>
    <row r="104" spans="1:12" ht="17.25" hidden="1" customHeight="1" outlineLevel="1">
      <c r="A104" s="15"/>
      <c r="B104" s="61" t="s">
        <v>141</v>
      </c>
      <c r="C104" s="17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15"/>
      <c r="B105" s="72" t="s">
        <v>142</v>
      </c>
      <c r="C105" s="17" t="s">
        <v>37</v>
      </c>
      <c r="D105" s="34"/>
      <c r="E105" s="34"/>
      <c r="F105" s="18"/>
      <c r="G105" s="34">
        <f t="shared" ref="G105:G113" si="14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15"/>
      <c r="B106" s="61" t="s">
        <v>143</v>
      </c>
      <c r="C106" s="17" t="s">
        <v>37</v>
      </c>
      <c r="D106" s="18">
        <f>E106</f>
        <v>75903</v>
      </c>
      <c r="E106" s="18">
        <v>75903</v>
      </c>
      <c r="F106" s="18"/>
      <c r="G106" s="34">
        <f t="shared" si="14"/>
        <v>0</v>
      </c>
      <c r="H106" s="18">
        <v>32588.400000000001</v>
      </c>
      <c r="I106" s="18">
        <f>ROUND(E106/H106*100,1)</f>
        <v>232.9</v>
      </c>
      <c r="J106" s="11" t="s">
        <v>139</v>
      </c>
    </row>
    <row r="107" spans="1:12" ht="20.25" customHeight="1">
      <c r="A107" s="15"/>
      <c r="B107" s="74" t="s">
        <v>144</v>
      </c>
      <c r="C107" s="17" t="s">
        <v>37</v>
      </c>
      <c r="D107" s="6">
        <f>SUM(D108:D112)</f>
        <v>33800.029000000002</v>
      </c>
      <c r="E107" s="6">
        <f>SUM(E108:E112)</f>
        <v>47175.357000000004</v>
      </c>
      <c r="F107" s="6">
        <f>ROUND(E107/D107*100,1)</f>
        <v>139.6</v>
      </c>
      <c r="G107" s="6">
        <f t="shared" si="14"/>
        <v>13375.328000000001</v>
      </c>
      <c r="H107" s="6">
        <f>SUM(H108:H112)</f>
        <v>29620.5</v>
      </c>
      <c r="I107" s="6">
        <f>IF(H107&gt;0,ROUND(E107/H107*100,1),0)</f>
        <v>159.30000000000001</v>
      </c>
      <c r="J107" s="11" t="s">
        <v>139</v>
      </c>
    </row>
    <row r="108" spans="1:12" ht="15.75">
      <c r="A108" s="15"/>
      <c r="B108" s="75" t="s">
        <v>145</v>
      </c>
      <c r="C108" s="17" t="s">
        <v>37</v>
      </c>
      <c r="D108" s="34">
        <v>0</v>
      </c>
      <c r="E108" s="34">
        <v>11060.8</v>
      </c>
      <c r="F108" s="6">
        <v>0</v>
      </c>
      <c r="G108" s="18">
        <f>E108-D108</f>
        <v>11060.8</v>
      </c>
      <c r="H108" s="18">
        <v>6153.1</v>
      </c>
      <c r="I108" s="34"/>
    </row>
    <row r="109" spans="1:12" s="19" customFormat="1" ht="15.75">
      <c r="A109" s="15"/>
      <c r="B109" s="30" t="s">
        <v>146</v>
      </c>
      <c r="C109" s="17" t="s">
        <v>37</v>
      </c>
      <c r="D109" s="34">
        <f>'[10]9месяцев'!$B$248/1000</f>
        <v>1879.355</v>
      </c>
      <c r="E109" s="34">
        <v>2132.1190000000001</v>
      </c>
      <c r="F109" s="18">
        <f>ROUND(E109/D109*100,1)</f>
        <v>113.4</v>
      </c>
      <c r="G109" s="18">
        <f t="shared" ref="G109:G112" si="15">E109-D109</f>
        <v>252.76400000000012</v>
      </c>
      <c r="H109" s="34">
        <v>1902.8</v>
      </c>
      <c r="I109" s="34">
        <f>ROUND(E109/H109*100,1)</f>
        <v>112.1</v>
      </c>
      <c r="J109" s="11" t="s">
        <v>139</v>
      </c>
      <c r="K109"/>
      <c r="L109"/>
    </row>
    <row r="110" spans="1:12" ht="15.75">
      <c r="A110" s="15"/>
      <c r="B110" s="30" t="s">
        <v>147</v>
      </c>
      <c r="C110" s="17" t="s">
        <v>37</v>
      </c>
      <c r="D110" s="34">
        <f>'[10]9месяцев'!$B$249/1000</f>
        <v>429.89400000000001</v>
      </c>
      <c r="E110" s="34">
        <v>662.1</v>
      </c>
      <c r="F110" s="18">
        <f>ROUND(E110/D110*100,1)</f>
        <v>154</v>
      </c>
      <c r="G110" s="18">
        <f t="shared" si="15"/>
        <v>232.20600000000002</v>
      </c>
      <c r="H110" s="34">
        <v>463</v>
      </c>
      <c r="I110" s="34">
        <f>ROUND(E110/H110*100,1)</f>
        <v>143</v>
      </c>
      <c r="J110" s="11" t="s">
        <v>139</v>
      </c>
    </row>
    <row r="111" spans="1:12" ht="15.75">
      <c r="A111" s="15"/>
      <c r="B111" s="30" t="s">
        <v>148</v>
      </c>
      <c r="C111" s="17" t="s">
        <v>37</v>
      </c>
      <c r="D111" s="34">
        <f>'[10]9месяцев'!$B$250/1000</f>
        <v>5599.9170000000004</v>
      </c>
      <c r="E111" s="34">
        <v>6911.2</v>
      </c>
      <c r="F111" s="18">
        <f>ROUND(E111/D111*100,1)</f>
        <v>123.4</v>
      </c>
      <c r="G111" s="18">
        <f t="shared" si="15"/>
        <v>1311.2829999999994</v>
      </c>
      <c r="H111" s="34">
        <v>5754.5</v>
      </c>
      <c r="I111" s="34">
        <f>ROUND(E111/H111*100,1)</f>
        <v>120.1</v>
      </c>
      <c r="J111" s="11" t="s">
        <v>139</v>
      </c>
    </row>
    <row r="112" spans="1:12" ht="15.75">
      <c r="A112" s="15"/>
      <c r="B112" s="30" t="s">
        <v>149</v>
      </c>
      <c r="C112" s="17" t="s">
        <v>37</v>
      </c>
      <c r="D112" s="18">
        <f>'[10]9месяцев'!$B$247/1000</f>
        <v>25890.863000000001</v>
      </c>
      <c r="E112" s="34">
        <v>26409.137999999999</v>
      </c>
      <c r="F112" s="18">
        <f>ROUND(E112/D112*100,1)</f>
        <v>102</v>
      </c>
      <c r="G112" s="18">
        <f t="shared" si="15"/>
        <v>518.27499999999782</v>
      </c>
      <c r="H112" s="34">
        <v>15347.1</v>
      </c>
      <c r="I112" s="34">
        <f>ROUND(E112/H112*100,1)</f>
        <v>172.1</v>
      </c>
      <c r="J112" s="11" t="s">
        <v>139</v>
      </c>
    </row>
    <row r="113" spans="1:13" ht="21" customHeight="1">
      <c r="A113" s="15"/>
      <c r="B113" s="76" t="s">
        <v>150</v>
      </c>
      <c r="C113" s="17" t="s">
        <v>37</v>
      </c>
      <c r="D113" s="6">
        <f>SUM(D115:D120)</f>
        <v>39210.649999999994</v>
      </c>
      <c r="E113" s="6">
        <f>SUM(E115:E120)</f>
        <v>25963.825000000001</v>
      </c>
      <c r="F113" s="6">
        <f>ROUND(E113/D113*100,1)</f>
        <v>66.2</v>
      </c>
      <c r="G113" s="6">
        <f t="shared" si="14"/>
        <v>-13246.824999999993</v>
      </c>
      <c r="H113" s="6">
        <f>SUM(H115:H120)</f>
        <v>19132.3</v>
      </c>
      <c r="I113" s="6">
        <f>ROUND(E113/H113*100,1)</f>
        <v>135.69999999999999</v>
      </c>
      <c r="J113" s="11" t="s">
        <v>139</v>
      </c>
    </row>
    <row r="114" spans="1:13" ht="15.75">
      <c r="A114" s="15"/>
      <c r="B114" s="15" t="s">
        <v>12</v>
      </c>
      <c r="C114" s="17" t="s">
        <v>37</v>
      </c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15"/>
      <c r="B115" s="17" t="s">
        <v>151</v>
      </c>
      <c r="C115" s="17" t="s">
        <v>37</v>
      </c>
      <c r="D115" s="18"/>
      <c r="E115" s="18"/>
      <c r="F115" s="18"/>
      <c r="G115" s="18">
        <f t="shared" ref="G115:G121" si="16">E115-D115</f>
        <v>0</v>
      </c>
      <c r="H115" s="18"/>
      <c r="I115" s="18" t="e">
        <f t="shared" ref="I115:I121" si="17">ROUND(E115/H115*100,1)</f>
        <v>#DIV/0!</v>
      </c>
      <c r="J115" s="11" t="s">
        <v>139</v>
      </c>
    </row>
    <row r="116" spans="1:13" ht="30" hidden="1" customHeight="1" outlineLevel="1">
      <c r="A116" s="15"/>
      <c r="B116" s="30" t="s">
        <v>152</v>
      </c>
      <c r="C116" s="17" t="s">
        <v>37</v>
      </c>
      <c r="D116" s="18"/>
      <c r="E116" s="18"/>
      <c r="F116" s="18"/>
      <c r="G116" s="18">
        <f t="shared" si="16"/>
        <v>0</v>
      </c>
      <c r="H116" s="18"/>
      <c r="I116" s="18" t="e">
        <f t="shared" si="17"/>
        <v>#DIV/0!</v>
      </c>
      <c r="J116" s="11" t="s">
        <v>139</v>
      </c>
    </row>
    <row r="117" spans="1:13" ht="15.75" collapsed="1">
      <c r="A117" s="15"/>
      <c r="B117" s="30" t="s">
        <v>204</v>
      </c>
      <c r="C117" s="17" t="s">
        <v>37</v>
      </c>
      <c r="D117" s="18">
        <f>D61*12%</f>
        <v>22444.739999999998</v>
      </c>
      <c r="E117" s="18">
        <v>24751.125</v>
      </c>
      <c r="F117" s="18">
        <f>ROUND(E117/D117*100,1)</f>
        <v>110.3</v>
      </c>
      <c r="G117" s="18">
        <f t="shared" si="16"/>
        <v>2306.385000000002</v>
      </c>
      <c r="H117" s="18">
        <v>17355.5</v>
      </c>
      <c r="I117" s="18">
        <f t="shared" si="17"/>
        <v>142.6</v>
      </c>
      <c r="J117" s="11" t="s">
        <v>139</v>
      </c>
    </row>
    <row r="118" spans="1:13" ht="34.5" customHeight="1">
      <c r="A118" s="67"/>
      <c r="B118" s="30" t="s">
        <v>153</v>
      </c>
      <c r="C118" s="17" t="s">
        <v>37</v>
      </c>
      <c r="D118" s="18">
        <f>('[10]9месяцев'!$B$243+'[10]9месяцев'!$B$244)/1000</f>
        <v>1802.75</v>
      </c>
      <c r="E118" s="35">
        <f>568.7+644</f>
        <v>1212.7</v>
      </c>
      <c r="F118" s="18">
        <f>ROUND(E118/D118*100,1)</f>
        <v>67.3</v>
      </c>
      <c r="G118" s="35">
        <f>E118-D118</f>
        <v>-590.04999999999995</v>
      </c>
      <c r="H118" s="35">
        <v>1776.8</v>
      </c>
      <c r="I118" s="18">
        <f t="shared" si="17"/>
        <v>68.3</v>
      </c>
      <c r="J118" s="11" t="s">
        <v>139</v>
      </c>
    </row>
    <row r="119" spans="1:13" ht="47.25" hidden="1" customHeight="1" outlineLevel="2">
      <c r="A119" s="15"/>
      <c r="B119" s="30" t="s">
        <v>154</v>
      </c>
      <c r="C119" s="17" t="s">
        <v>37</v>
      </c>
      <c r="D119" s="18"/>
      <c r="E119" s="18"/>
      <c r="F119" s="18" t="e">
        <f>ROUND(E119/D119*100,1)</f>
        <v>#DIV/0!</v>
      </c>
      <c r="G119" s="35">
        <f t="shared" si="16"/>
        <v>0</v>
      </c>
      <c r="H119" s="18"/>
      <c r="I119" s="18" t="e">
        <f t="shared" si="17"/>
        <v>#DIV/0!</v>
      </c>
      <c r="J119" s="11" t="s">
        <v>139</v>
      </c>
      <c r="M119">
        <f>15287.1+3820.2</f>
        <v>19107.3</v>
      </c>
    </row>
    <row r="120" spans="1:13" ht="36" hidden="1" customHeight="1" outlineLevel="2">
      <c r="A120" s="15"/>
      <c r="B120" s="30" t="s">
        <v>155</v>
      </c>
      <c r="C120" s="17" t="s">
        <v>37</v>
      </c>
      <c r="D120" s="18">
        <f>D61*8%</f>
        <v>14963.16</v>
      </c>
      <c r="E120" s="18"/>
      <c r="F120" s="18">
        <f>ROUND(E120/D120*100,1)</f>
        <v>0</v>
      </c>
      <c r="G120" s="18">
        <f t="shared" si="16"/>
        <v>-14963.16</v>
      </c>
      <c r="H120" s="18"/>
      <c r="I120" s="18" t="e">
        <f t="shared" si="17"/>
        <v>#DIV/0!</v>
      </c>
      <c r="J120" s="11" t="s">
        <v>139</v>
      </c>
    </row>
    <row r="121" spans="1:13" ht="15.75" collapsed="1">
      <c r="A121" s="15"/>
      <c r="B121" s="52" t="s">
        <v>156</v>
      </c>
      <c r="C121" s="17" t="s">
        <v>37</v>
      </c>
      <c r="D121" s="6">
        <f>D102+D113+D107</f>
        <v>150895.63505489999</v>
      </c>
      <c r="E121" s="6">
        <f>E102+E113+E107</f>
        <v>149138.068</v>
      </c>
      <c r="F121" s="6">
        <f>ROUND(E121/D121*100,1)</f>
        <v>98.8</v>
      </c>
      <c r="G121" s="6">
        <f t="shared" si="16"/>
        <v>-1757.5670548999915</v>
      </c>
      <c r="H121" s="6">
        <f>H102+H113+H107</f>
        <v>81341.2</v>
      </c>
      <c r="I121" s="6">
        <f t="shared" si="17"/>
        <v>183.3</v>
      </c>
      <c r="J121" s="11" t="s">
        <v>139</v>
      </c>
    </row>
    <row r="122" spans="1:13" ht="15.75">
      <c r="A122" s="15" t="s">
        <v>157</v>
      </c>
      <c r="B122" s="52" t="s">
        <v>158</v>
      </c>
      <c r="C122" s="17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/>
      <c r="I122" s="6" t="s">
        <v>73</v>
      </c>
    </row>
    <row r="123" spans="1:13" ht="27" customHeight="1">
      <c r="A123" s="15"/>
      <c r="B123" s="77" t="s">
        <v>159</v>
      </c>
      <c r="C123" s="17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15"/>
      <c r="B124" s="16" t="s">
        <v>160</v>
      </c>
      <c r="C124" s="17" t="s">
        <v>37</v>
      </c>
      <c r="D124" s="18"/>
      <c r="E124" s="18"/>
      <c r="F124" s="18"/>
      <c r="G124" s="18"/>
      <c r="H124" s="18" t="s">
        <v>73</v>
      </c>
      <c r="I124" s="18"/>
    </row>
    <row r="125" spans="1:13" ht="24" customHeight="1" collapsed="1">
      <c r="A125" s="15" t="s">
        <v>161</v>
      </c>
      <c r="B125" s="52" t="s">
        <v>162</v>
      </c>
      <c r="C125" s="17" t="s">
        <v>37</v>
      </c>
      <c r="D125" s="6">
        <f>SUM(D127:D130)</f>
        <v>545616.13087540003</v>
      </c>
      <c r="E125" s="6">
        <f>SUM(E127:E130)</f>
        <v>512676.19999999995</v>
      </c>
      <c r="F125" s="6">
        <f t="shared" ref="F125:F130" si="18">ROUND(E125/D125*100,1)</f>
        <v>94</v>
      </c>
      <c r="G125" s="6">
        <f t="shared" ref="G125:G151" si="19">E125-D125</f>
        <v>-32939.930875400081</v>
      </c>
      <c r="H125" s="6">
        <f>SUM(H127:H130)</f>
        <v>398805.10000000003</v>
      </c>
      <c r="I125" s="6">
        <f>ROUND(E125/H125*100,1)</f>
        <v>128.6</v>
      </c>
      <c r="J125" s="11" t="s">
        <v>139</v>
      </c>
      <c r="M125" s="11"/>
    </row>
    <row r="126" spans="1:13" ht="15.75">
      <c r="A126" s="15"/>
      <c r="B126" s="15" t="s">
        <v>163</v>
      </c>
      <c r="C126" s="17" t="s">
        <v>37</v>
      </c>
      <c r="D126" s="18"/>
      <c r="E126" s="18"/>
      <c r="F126" s="18"/>
      <c r="G126" s="18">
        <f t="shared" si="19"/>
        <v>0</v>
      </c>
      <c r="H126" s="11"/>
      <c r="I126" s="18"/>
      <c r="M126" s="11"/>
    </row>
    <row r="127" spans="1:13" ht="19.5" customHeight="1">
      <c r="A127" s="15"/>
      <c r="B127" s="61" t="s">
        <v>164</v>
      </c>
      <c r="C127" s="17" t="s">
        <v>37</v>
      </c>
      <c r="D127" s="18">
        <f>'[10]9месяцев'!$B$16/1000</f>
        <v>261624.44899999999</v>
      </c>
      <c r="E127" s="18">
        <v>232926.3</v>
      </c>
      <c r="F127" s="18">
        <f t="shared" si="18"/>
        <v>89</v>
      </c>
      <c r="G127" s="18">
        <f t="shared" si="19"/>
        <v>-28698.149000000005</v>
      </c>
      <c r="H127" s="18">
        <v>152073.79999999999</v>
      </c>
      <c r="I127" s="18">
        <f t="shared" ref="I127:I130" si="20">ROUND(E127/H127*100,1)</f>
        <v>153.19999999999999</v>
      </c>
      <c r="J127" s="11" t="s">
        <v>139</v>
      </c>
    </row>
    <row r="128" spans="1:13" ht="18" customHeight="1">
      <c r="A128" s="15"/>
      <c r="B128" s="61" t="s">
        <v>165</v>
      </c>
      <c r="C128" s="17" t="s">
        <v>37</v>
      </c>
      <c r="D128" s="18">
        <f>('[10]9месяцев'!$B$60+'[10]9месяцев'!$B$61)/1000</f>
        <v>158886.90299999999</v>
      </c>
      <c r="E128" s="18">
        <f>140077.3+16813.7</f>
        <v>156891</v>
      </c>
      <c r="F128" s="18">
        <f t="shared" si="18"/>
        <v>98.7</v>
      </c>
      <c r="G128" s="18">
        <f t="shared" si="19"/>
        <v>-1995.9029999999912</v>
      </c>
      <c r="H128" s="18">
        <v>118110.1</v>
      </c>
      <c r="I128" s="18">
        <f t="shared" si="20"/>
        <v>132.80000000000001</v>
      </c>
      <c r="J128" s="11" t="s">
        <v>139</v>
      </c>
    </row>
    <row r="129" spans="1:13" ht="31.5">
      <c r="A129" s="15"/>
      <c r="B129" s="61" t="s">
        <v>166</v>
      </c>
      <c r="C129" s="17" t="s">
        <v>37</v>
      </c>
      <c r="D129" s="18">
        <f>'[10]9месяцев'!$B$62/1000</f>
        <v>109007.26300000001</v>
      </c>
      <c r="E129" s="18">
        <v>103326.9</v>
      </c>
      <c r="F129" s="18">
        <f t="shared" si="18"/>
        <v>94.8</v>
      </c>
      <c r="G129" s="18">
        <f t="shared" si="19"/>
        <v>-5680.3630000000121</v>
      </c>
      <c r="H129" s="18">
        <v>108206.9</v>
      </c>
      <c r="I129" s="18">
        <f t="shared" si="20"/>
        <v>95.5</v>
      </c>
      <c r="J129" s="11" t="s">
        <v>139</v>
      </c>
    </row>
    <row r="130" spans="1:13" ht="15.75">
      <c r="A130" s="15"/>
      <c r="B130" s="61" t="s">
        <v>167</v>
      </c>
      <c r="C130" s="17" t="s">
        <v>37</v>
      </c>
      <c r="D130" s="18">
        <f>'[10]9месяцев'!$B$65/1000</f>
        <v>16097.515875399999</v>
      </c>
      <c r="E130" s="18">
        <v>19532</v>
      </c>
      <c r="F130" s="18">
        <f t="shared" si="18"/>
        <v>121.3</v>
      </c>
      <c r="G130" s="18">
        <f t="shared" si="19"/>
        <v>3434.4841246000015</v>
      </c>
      <c r="H130" s="18">
        <v>20414.3</v>
      </c>
      <c r="I130" s="18">
        <f t="shared" si="20"/>
        <v>95.7</v>
      </c>
      <c r="J130" s="11" t="s">
        <v>139</v>
      </c>
    </row>
    <row r="131" spans="1:13" ht="23.25" customHeight="1">
      <c r="A131" s="17" t="s">
        <v>168</v>
      </c>
      <c r="B131" s="78" t="s">
        <v>169</v>
      </c>
      <c r="C131" s="17" t="s">
        <v>37</v>
      </c>
      <c r="D131" s="18"/>
      <c r="E131" s="6">
        <v>2447343.7999999998</v>
      </c>
      <c r="F131" s="6"/>
      <c r="G131" s="6">
        <f>E131-D131</f>
        <v>2447343.7999999998</v>
      </c>
      <c r="H131" s="6"/>
      <c r="I131" s="6">
        <f>IF(H131&gt;0,ROUND(E131/H131*100,1),0)</f>
        <v>0</v>
      </c>
      <c r="K131" t="s">
        <v>170</v>
      </c>
    </row>
    <row r="132" spans="1:13" ht="15.75">
      <c r="A132" s="15"/>
      <c r="B132" s="15" t="s">
        <v>12</v>
      </c>
      <c r="C132" s="17" t="s">
        <v>37</v>
      </c>
      <c r="D132" s="18"/>
      <c r="E132" s="18"/>
      <c r="F132" s="18"/>
      <c r="G132" s="18">
        <f t="shared" si="19"/>
        <v>0</v>
      </c>
      <c r="H132" s="18"/>
      <c r="I132" s="18"/>
    </row>
    <row r="133" spans="1:13" ht="24.75" customHeight="1">
      <c r="A133" s="15"/>
      <c r="B133" s="29" t="s">
        <v>171</v>
      </c>
      <c r="C133" s="17" t="s">
        <v>37</v>
      </c>
      <c r="D133" s="34"/>
      <c r="E133" s="34">
        <v>2447343.7999999998</v>
      </c>
      <c r="F133" s="34"/>
      <c r="G133" s="34">
        <f t="shared" si="19"/>
        <v>2447343.7999999998</v>
      </c>
      <c r="H133" s="34">
        <v>2576536</v>
      </c>
      <c r="I133" s="34">
        <f>IF(H133&gt;0,ROUND(E133/H133*100,1),0)</f>
        <v>95</v>
      </c>
      <c r="K133" t="s">
        <v>170</v>
      </c>
      <c r="L133" t="s">
        <v>170</v>
      </c>
      <c r="M133" t="s">
        <v>172</v>
      </c>
    </row>
    <row r="134" spans="1:13" ht="15.75">
      <c r="A134" s="15"/>
      <c r="B134" s="15" t="s">
        <v>163</v>
      </c>
      <c r="C134" s="17" t="s">
        <v>37</v>
      </c>
      <c r="D134" s="18"/>
      <c r="E134" s="18"/>
      <c r="F134" s="18"/>
      <c r="G134" s="18">
        <f t="shared" si="19"/>
        <v>0</v>
      </c>
      <c r="H134" s="18"/>
      <c r="I134" s="18"/>
    </row>
    <row r="135" spans="1:13" ht="15.75">
      <c r="A135" s="15"/>
      <c r="B135" s="61" t="s">
        <v>173</v>
      </c>
      <c r="C135" s="17" t="s">
        <v>37</v>
      </c>
      <c r="D135" s="18"/>
      <c r="E135" s="18">
        <v>1062856.8999999999</v>
      </c>
      <c r="F135" s="18"/>
      <c r="G135" s="18">
        <f t="shared" si="19"/>
        <v>1062856.8999999999</v>
      </c>
      <c r="H135" s="18">
        <v>1291825.2</v>
      </c>
      <c r="I135" s="18">
        <f>IF(H135&gt;0,ROUND(E135/H135*100,1),0)</f>
        <v>82.3</v>
      </c>
      <c r="K135" t="s">
        <v>170</v>
      </c>
      <c r="L135" t="s">
        <v>170</v>
      </c>
      <c r="M135" t="s">
        <v>174</v>
      </c>
    </row>
    <row r="136" spans="1:13" ht="15.75">
      <c r="A136" s="15"/>
      <c r="B136" s="61" t="s">
        <v>175</v>
      </c>
      <c r="C136" s="17" t="s">
        <v>37</v>
      </c>
      <c r="D136" s="18"/>
      <c r="E136" s="18">
        <v>1016.1</v>
      </c>
      <c r="F136" s="18"/>
      <c r="G136" s="18">
        <f t="shared" si="19"/>
        <v>1016.1</v>
      </c>
      <c r="H136" s="18">
        <v>274.89999999999998</v>
      </c>
      <c r="I136" s="18">
        <f>IF(H136&gt;0,ROUND(E136/H136*100,1),0)</f>
        <v>369.6</v>
      </c>
      <c r="K136" t="s">
        <v>170</v>
      </c>
      <c r="L136" t="s">
        <v>170</v>
      </c>
      <c r="M136" t="s">
        <v>176</v>
      </c>
    </row>
    <row r="137" spans="1:13" ht="15.75">
      <c r="A137" s="15"/>
      <c r="B137" s="16" t="s">
        <v>177</v>
      </c>
      <c r="C137" s="17" t="s">
        <v>37</v>
      </c>
      <c r="D137" s="18"/>
      <c r="E137" s="18">
        <v>545702</v>
      </c>
      <c r="F137" s="18"/>
      <c r="G137" s="18">
        <f t="shared" si="19"/>
        <v>545702</v>
      </c>
      <c r="H137" s="18">
        <v>954710.1</v>
      </c>
      <c r="I137" s="18">
        <f>IF(H137&gt;0,ROUND(E137/H137*100,1),0)</f>
        <v>57.2</v>
      </c>
      <c r="K137" t="s">
        <v>170</v>
      </c>
      <c r="L137" t="s">
        <v>170</v>
      </c>
      <c r="M137" t="s">
        <v>178</v>
      </c>
    </row>
    <row r="138" spans="1:13" ht="15.75">
      <c r="A138" s="15"/>
      <c r="B138" s="15" t="s">
        <v>52</v>
      </c>
      <c r="C138" s="17" t="s">
        <v>37</v>
      </c>
      <c r="D138" s="18"/>
      <c r="E138" s="18"/>
      <c r="F138" s="18"/>
      <c r="G138" s="18">
        <f t="shared" si="19"/>
        <v>0</v>
      </c>
      <c r="H138" s="18"/>
      <c r="I138" s="18"/>
      <c r="K138" t="s">
        <v>170</v>
      </c>
      <c r="L138" t="s">
        <v>170</v>
      </c>
    </row>
    <row r="139" spans="1:13" ht="20.25" customHeight="1">
      <c r="A139" s="79"/>
      <c r="B139" s="80" t="s">
        <v>179</v>
      </c>
      <c r="C139" s="17" t="s">
        <v>37</v>
      </c>
      <c r="D139" s="81"/>
      <c r="E139" s="81">
        <v>179232.3</v>
      </c>
      <c r="F139" s="18"/>
      <c r="G139" s="81">
        <f t="shared" si="19"/>
        <v>179232.3</v>
      </c>
      <c r="H139" s="81">
        <v>237448.2</v>
      </c>
      <c r="I139" s="18">
        <f>IF(H139&gt;0,ROUND(E139/H139*100,1),0)</f>
        <v>75.5</v>
      </c>
      <c r="K139" t="s">
        <v>170</v>
      </c>
      <c r="L139" t="s">
        <v>170</v>
      </c>
      <c r="M139" t="s">
        <v>180</v>
      </c>
    </row>
    <row r="140" spans="1:13" ht="15.75">
      <c r="A140" s="15"/>
      <c r="B140" s="15" t="s">
        <v>163</v>
      </c>
      <c r="C140" s="17" t="s">
        <v>37</v>
      </c>
      <c r="D140" s="18"/>
      <c r="E140" s="18"/>
      <c r="F140" s="18"/>
      <c r="G140" s="18">
        <f t="shared" si="19"/>
        <v>0</v>
      </c>
      <c r="H140" s="18"/>
      <c r="I140" s="18"/>
      <c r="K140" t="s">
        <v>170</v>
      </c>
      <c r="L140" t="s">
        <v>170</v>
      </c>
    </row>
    <row r="141" spans="1:13" ht="20.25" customHeight="1">
      <c r="A141" s="15"/>
      <c r="B141" s="61" t="s">
        <v>181</v>
      </c>
      <c r="C141" s="17" t="s">
        <v>37</v>
      </c>
      <c r="D141" s="18"/>
      <c r="E141" s="18">
        <v>94847.4</v>
      </c>
      <c r="F141" s="18"/>
      <c r="G141" s="18">
        <f t="shared" si="19"/>
        <v>94847.4</v>
      </c>
      <c r="H141" s="18">
        <v>108761.4</v>
      </c>
      <c r="I141" s="18">
        <f>IF(H141&gt;0,ROUND(E141/H141*100,1),0)</f>
        <v>87.2</v>
      </c>
      <c r="K141" t="s">
        <v>170</v>
      </c>
      <c r="L141" t="s">
        <v>170</v>
      </c>
      <c r="M141" t="s">
        <v>182</v>
      </c>
    </row>
    <row r="142" spans="1:13" ht="15.75">
      <c r="A142" s="15"/>
      <c r="B142" s="61" t="s">
        <v>183</v>
      </c>
      <c r="C142" s="17" t="s">
        <v>37</v>
      </c>
      <c r="D142" s="18"/>
      <c r="E142" s="18">
        <v>74367.8</v>
      </c>
      <c r="F142" s="18"/>
      <c r="G142" s="18">
        <f t="shared" si="19"/>
        <v>74367.8</v>
      </c>
      <c r="H142" s="18">
        <v>109975.1</v>
      </c>
      <c r="I142" s="18">
        <f>IF(H142&gt;0,ROUND(E142/H142*100,1),0)</f>
        <v>67.599999999999994</v>
      </c>
      <c r="K142" t="s">
        <v>170</v>
      </c>
      <c r="L142" t="s">
        <v>170</v>
      </c>
      <c r="M142" t="s">
        <v>184</v>
      </c>
    </row>
    <row r="143" spans="1:13" ht="15.75">
      <c r="A143" s="15"/>
      <c r="B143" s="80" t="s">
        <v>185</v>
      </c>
      <c r="C143" s="17" t="s">
        <v>37</v>
      </c>
      <c r="D143" s="18"/>
      <c r="E143" s="18">
        <v>34651.199999999997</v>
      </c>
      <c r="F143" s="18"/>
      <c r="G143" s="18">
        <f>E143-D143</f>
        <v>34651.199999999997</v>
      </c>
      <c r="H143" s="18">
        <v>1126.5</v>
      </c>
      <c r="I143" s="18">
        <f>IF(H143&gt;0,ROUND(E143/H143*100,1),0)</f>
        <v>3076</v>
      </c>
      <c r="K143" t="s">
        <v>170</v>
      </c>
      <c r="L143" t="s">
        <v>170</v>
      </c>
      <c r="M143" t="s">
        <v>186</v>
      </c>
    </row>
    <row r="144" spans="1:13" ht="18" customHeight="1">
      <c r="A144" s="15"/>
      <c r="B144" s="15" t="s">
        <v>163</v>
      </c>
      <c r="C144" s="17" t="s">
        <v>37</v>
      </c>
      <c r="D144" s="18"/>
      <c r="E144" s="18"/>
      <c r="F144" s="18"/>
      <c r="G144" s="18">
        <f t="shared" si="19"/>
        <v>0</v>
      </c>
      <c r="H144" s="18"/>
      <c r="I144" s="18"/>
      <c r="K144" t="s">
        <v>170</v>
      </c>
      <c r="L144" t="s">
        <v>170</v>
      </c>
    </row>
    <row r="145" spans="1:12" ht="15.75">
      <c r="A145" s="15"/>
      <c r="B145" s="30" t="s">
        <v>187</v>
      </c>
      <c r="C145" s="17" t="s">
        <v>37</v>
      </c>
      <c r="D145" s="18"/>
      <c r="E145" s="18">
        <v>74.099999999999994</v>
      </c>
      <c r="F145" s="18"/>
      <c r="G145" s="18">
        <f t="shared" si="19"/>
        <v>74.099999999999994</v>
      </c>
      <c r="H145" s="18">
        <v>76.7</v>
      </c>
      <c r="I145" s="18">
        <f>IF(H145&gt;0,ROUND(E145/H145*100,1),0)</f>
        <v>96.6</v>
      </c>
      <c r="K145" t="s">
        <v>170</v>
      </c>
    </row>
    <row r="146" spans="1:12" ht="18.75" hidden="1" customHeight="1" outlineLevel="1">
      <c r="A146" s="15" t="s">
        <v>188</v>
      </c>
      <c r="B146" s="16" t="s">
        <v>189</v>
      </c>
      <c r="C146" s="17" t="s">
        <v>37</v>
      </c>
      <c r="D146" s="18"/>
      <c r="E146" s="18"/>
      <c r="F146" s="18"/>
      <c r="G146" s="18">
        <f>E146-D146</f>
        <v>0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15">
        <v>30</v>
      </c>
      <c r="B147" s="16" t="s">
        <v>190</v>
      </c>
      <c r="C147" s="17" t="s">
        <v>37</v>
      </c>
      <c r="D147" s="18"/>
      <c r="E147" s="18">
        <v>154866.4</v>
      </c>
      <c r="F147" s="18"/>
      <c r="G147" s="18">
        <f>E147-D147</f>
        <v>154866.4</v>
      </c>
      <c r="H147" s="18">
        <v>92277.5</v>
      </c>
      <c r="I147" s="18">
        <f>ROUND(E147/H147*100,1)</f>
        <v>167.8</v>
      </c>
      <c r="K147" t="s">
        <v>170</v>
      </c>
      <c r="L147" t="s">
        <v>191</v>
      </c>
    </row>
    <row r="148" spans="1:12" ht="15.75" hidden="1" outlineLevel="1">
      <c r="A148" s="15"/>
      <c r="B148" s="15" t="s">
        <v>12</v>
      </c>
      <c r="C148" s="17" t="s">
        <v>37</v>
      </c>
      <c r="D148" s="18"/>
      <c r="E148" s="18"/>
      <c r="F148" s="18"/>
      <c r="G148" s="18">
        <f t="shared" si="19"/>
        <v>0</v>
      </c>
      <c r="H148" s="18"/>
      <c r="I148" s="18"/>
      <c r="K148" t="s">
        <v>170</v>
      </c>
    </row>
    <row r="149" spans="1:12" ht="15.75" hidden="1" outlineLevel="1">
      <c r="A149" s="15"/>
      <c r="B149" s="16" t="s">
        <v>192</v>
      </c>
      <c r="C149" s="17" t="s">
        <v>37</v>
      </c>
      <c r="D149" s="18"/>
      <c r="E149" s="18"/>
      <c r="F149" s="18"/>
      <c r="G149" s="18">
        <f t="shared" si="19"/>
        <v>0</v>
      </c>
      <c r="H149" s="18"/>
      <c r="I149" s="18"/>
      <c r="K149" t="s">
        <v>170</v>
      </c>
    </row>
    <row r="150" spans="1:12" ht="15.75" hidden="1" outlineLevel="1">
      <c r="A150" s="15"/>
      <c r="B150" s="16" t="s">
        <v>193</v>
      </c>
      <c r="C150" s="17" t="s">
        <v>37</v>
      </c>
      <c r="D150" s="18"/>
      <c r="E150" s="18"/>
      <c r="F150" s="18"/>
      <c r="G150" s="18">
        <f t="shared" si="19"/>
        <v>0</v>
      </c>
      <c r="H150" s="18"/>
      <c r="I150" s="18" t="e">
        <f>ROUND(E150/H150*100,1)</f>
        <v>#DIV/0!</v>
      </c>
      <c r="K150" t="s">
        <v>170</v>
      </c>
    </row>
    <row r="151" spans="1:12" ht="15.75" collapsed="1">
      <c r="A151" s="15">
        <v>31</v>
      </c>
      <c r="B151" s="16" t="s">
        <v>194</v>
      </c>
      <c r="C151" s="17" t="s">
        <v>37</v>
      </c>
      <c r="D151" s="18"/>
      <c r="E151" s="18">
        <v>295322.90000000002</v>
      </c>
      <c r="F151" s="18"/>
      <c r="G151" s="18">
        <f t="shared" si="19"/>
        <v>295322.90000000002</v>
      </c>
      <c r="H151" s="18">
        <v>263826.09999999998</v>
      </c>
      <c r="I151" s="18">
        <f>ROUND(E151/H151*100,1)</f>
        <v>111.9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40"/>
      <c r="F152" s="40"/>
      <c r="G152" s="40"/>
      <c r="H152" s="41">
        <v>198879</v>
      </c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40"/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40"/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40"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40"/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'[2]2019'!$G$164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'[3]2019'!B168</f>
        <v>Начальник ОЭАиП</v>
      </c>
      <c r="C166" s="46"/>
      <c r="D166" s="46"/>
      <c r="E166" s="46"/>
      <c r="F166" s="48"/>
      <c r="G166" s="46" t="s">
        <v>203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3"/>
  <sheetViews>
    <sheetView showZeros="0" view="pageBreakPreview" topLeftCell="B4" zoomScale="90" zoomScaleNormal="100" zoomScaleSheetLayoutView="90" workbookViewId="0">
      <pane xSplit="1" topLeftCell="C1" activePane="topRight" state="frozen"/>
      <selection activeCell="B1" sqref="B1"/>
      <selection pane="topRight" activeCell="Q11" sqref="Q11"/>
    </sheetView>
  </sheetViews>
  <sheetFormatPr defaultRowHeight="12.75" outlineLevelRow="1" outlineLevelCol="1"/>
  <cols>
    <col min="1" max="1" width="3.85546875" hidden="1" customWidth="1" outlineLevel="1"/>
    <col min="2" max="2" width="59.140625" customWidth="1" collapsed="1"/>
    <col min="3" max="3" width="10" customWidth="1"/>
    <col min="4" max="4" width="13.5703125" customWidth="1"/>
    <col min="5" max="5" width="12.42578125" customWidth="1"/>
    <col min="6" max="6" width="12.140625" customWidth="1"/>
    <col min="7" max="7" width="13.85546875" customWidth="1"/>
    <col min="8" max="8" width="12.42578125" customWidth="1"/>
    <col min="9" max="9" width="12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3" width="9.140625" hidden="1" customWidth="1" outlineLevel="1"/>
    <col min="14" max="14" width="1" hidden="1" customWidth="1" outlineLevel="1"/>
    <col min="15" max="15" width="9.140625" collapsed="1"/>
    <col min="257" max="257" width="3.85546875" bestFit="1" customWidth="1"/>
    <col min="258" max="258" width="61.5703125" customWidth="1"/>
    <col min="259" max="259" width="10" customWidth="1"/>
    <col min="260" max="260" width="11.85546875" customWidth="1"/>
    <col min="261" max="261" width="12.42578125" customWidth="1"/>
    <col min="262" max="262" width="9.7109375" customWidth="1"/>
    <col min="263" max="263" width="12" customWidth="1"/>
    <col min="264" max="264" width="13.28515625" customWidth="1"/>
    <col min="265" max="265" width="11.140625" customWidth="1"/>
    <col min="266" max="270" width="0" hidden="1" customWidth="1"/>
    <col min="513" max="513" width="3.85546875" bestFit="1" customWidth="1"/>
    <col min="514" max="514" width="61.5703125" customWidth="1"/>
    <col min="515" max="515" width="10" customWidth="1"/>
    <col min="516" max="516" width="11.85546875" customWidth="1"/>
    <col min="517" max="517" width="12.42578125" customWidth="1"/>
    <col min="518" max="518" width="9.7109375" customWidth="1"/>
    <col min="519" max="519" width="12" customWidth="1"/>
    <col min="520" max="520" width="13.28515625" customWidth="1"/>
    <col min="521" max="521" width="11.140625" customWidth="1"/>
    <col min="522" max="526" width="0" hidden="1" customWidth="1"/>
    <col min="769" max="769" width="3.85546875" bestFit="1" customWidth="1"/>
    <col min="770" max="770" width="61.5703125" customWidth="1"/>
    <col min="771" max="771" width="10" customWidth="1"/>
    <col min="772" max="772" width="11.85546875" customWidth="1"/>
    <col min="773" max="773" width="12.42578125" customWidth="1"/>
    <col min="774" max="774" width="9.7109375" customWidth="1"/>
    <col min="775" max="775" width="12" customWidth="1"/>
    <col min="776" max="776" width="13.28515625" customWidth="1"/>
    <col min="777" max="777" width="11.140625" customWidth="1"/>
    <col min="778" max="782" width="0" hidden="1" customWidth="1"/>
    <col min="1025" max="1025" width="3.85546875" bestFit="1" customWidth="1"/>
    <col min="1026" max="1026" width="61.5703125" customWidth="1"/>
    <col min="1027" max="1027" width="10" customWidth="1"/>
    <col min="1028" max="1028" width="11.85546875" customWidth="1"/>
    <col min="1029" max="1029" width="12.42578125" customWidth="1"/>
    <col min="1030" max="1030" width="9.7109375" customWidth="1"/>
    <col min="1031" max="1031" width="12" customWidth="1"/>
    <col min="1032" max="1032" width="13.28515625" customWidth="1"/>
    <col min="1033" max="1033" width="11.140625" customWidth="1"/>
    <col min="1034" max="1038" width="0" hidden="1" customWidth="1"/>
    <col min="1281" max="1281" width="3.85546875" bestFit="1" customWidth="1"/>
    <col min="1282" max="1282" width="61.5703125" customWidth="1"/>
    <col min="1283" max="1283" width="10" customWidth="1"/>
    <col min="1284" max="1284" width="11.85546875" customWidth="1"/>
    <col min="1285" max="1285" width="12.42578125" customWidth="1"/>
    <col min="1286" max="1286" width="9.7109375" customWidth="1"/>
    <col min="1287" max="1287" width="12" customWidth="1"/>
    <col min="1288" max="1288" width="13.28515625" customWidth="1"/>
    <col min="1289" max="1289" width="11.140625" customWidth="1"/>
    <col min="1290" max="1294" width="0" hidden="1" customWidth="1"/>
    <col min="1537" max="1537" width="3.85546875" bestFit="1" customWidth="1"/>
    <col min="1538" max="1538" width="61.5703125" customWidth="1"/>
    <col min="1539" max="1539" width="10" customWidth="1"/>
    <col min="1540" max="1540" width="11.85546875" customWidth="1"/>
    <col min="1541" max="1541" width="12.42578125" customWidth="1"/>
    <col min="1542" max="1542" width="9.7109375" customWidth="1"/>
    <col min="1543" max="1543" width="12" customWidth="1"/>
    <col min="1544" max="1544" width="13.28515625" customWidth="1"/>
    <col min="1545" max="1545" width="11.140625" customWidth="1"/>
    <col min="1546" max="1550" width="0" hidden="1" customWidth="1"/>
    <col min="1793" max="1793" width="3.85546875" bestFit="1" customWidth="1"/>
    <col min="1794" max="1794" width="61.5703125" customWidth="1"/>
    <col min="1795" max="1795" width="10" customWidth="1"/>
    <col min="1796" max="1796" width="11.85546875" customWidth="1"/>
    <col min="1797" max="1797" width="12.42578125" customWidth="1"/>
    <col min="1798" max="1798" width="9.7109375" customWidth="1"/>
    <col min="1799" max="1799" width="12" customWidth="1"/>
    <col min="1800" max="1800" width="13.28515625" customWidth="1"/>
    <col min="1801" max="1801" width="11.140625" customWidth="1"/>
    <col min="1802" max="1806" width="0" hidden="1" customWidth="1"/>
    <col min="2049" max="2049" width="3.85546875" bestFit="1" customWidth="1"/>
    <col min="2050" max="2050" width="61.5703125" customWidth="1"/>
    <col min="2051" max="2051" width="10" customWidth="1"/>
    <col min="2052" max="2052" width="11.85546875" customWidth="1"/>
    <col min="2053" max="2053" width="12.42578125" customWidth="1"/>
    <col min="2054" max="2054" width="9.7109375" customWidth="1"/>
    <col min="2055" max="2055" width="12" customWidth="1"/>
    <col min="2056" max="2056" width="13.28515625" customWidth="1"/>
    <col min="2057" max="2057" width="11.140625" customWidth="1"/>
    <col min="2058" max="2062" width="0" hidden="1" customWidth="1"/>
    <col min="2305" max="2305" width="3.85546875" bestFit="1" customWidth="1"/>
    <col min="2306" max="2306" width="61.5703125" customWidth="1"/>
    <col min="2307" max="2307" width="10" customWidth="1"/>
    <col min="2308" max="2308" width="11.85546875" customWidth="1"/>
    <col min="2309" max="2309" width="12.42578125" customWidth="1"/>
    <col min="2310" max="2310" width="9.7109375" customWidth="1"/>
    <col min="2311" max="2311" width="12" customWidth="1"/>
    <col min="2312" max="2312" width="13.28515625" customWidth="1"/>
    <col min="2313" max="2313" width="11.140625" customWidth="1"/>
    <col min="2314" max="2318" width="0" hidden="1" customWidth="1"/>
    <col min="2561" max="2561" width="3.85546875" bestFit="1" customWidth="1"/>
    <col min="2562" max="2562" width="61.5703125" customWidth="1"/>
    <col min="2563" max="2563" width="10" customWidth="1"/>
    <col min="2564" max="2564" width="11.85546875" customWidth="1"/>
    <col min="2565" max="2565" width="12.42578125" customWidth="1"/>
    <col min="2566" max="2566" width="9.7109375" customWidth="1"/>
    <col min="2567" max="2567" width="12" customWidth="1"/>
    <col min="2568" max="2568" width="13.28515625" customWidth="1"/>
    <col min="2569" max="2569" width="11.140625" customWidth="1"/>
    <col min="2570" max="2574" width="0" hidden="1" customWidth="1"/>
    <col min="2817" max="2817" width="3.85546875" bestFit="1" customWidth="1"/>
    <col min="2818" max="2818" width="61.5703125" customWidth="1"/>
    <col min="2819" max="2819" width="10" customWidth="1"/>
    <col min="2820" max="2820" width="11.85546875" customWidth="1"/>
    <col min="2821" max="2821" width="12.42578125" customWidth="1"/>
    <col min="2822" max="2822" width="9.7109375" customWidth="1"/>
    <col min="2823" max="2823" width="12" customWidth="1"/>
    <col min="2824" max="2824" width="13.28515625" customWidth="1"/>
    <col min="2825" max="2825" width="11.140625" customWidth="1"/>
    <col min="2826" max="2830" width="0" hidden="1" customWidth="1"/>
    <col min="3073" max="3073" width="3.85546875" bestFit="1" customWidth="1"/>
    <col min="3074" max="3074" width="61.5703125" customWidth="1"/>
    <col min="3075" max="3075" width="10" customWidth="1"/>
    <col min="3076" max="3076" width="11.85546875" customWidth="1"/>
    <col min="3077" max="3077" width="12.42578125" customWidth="1"/>
    <col min="3078" max="3078" width="9.7109375" customWidth="1"/>
    <col min="3079" max="3079" width="12" customWidth="1"/>
    <col min="3080" max="3080" width="13.28515625" customWidth="1"/>
    <col min="3081" max="3081" width="11.140625" customWidth="1"/>
    <col min="3082" max="3086" width="0" hidden="1" customWidth="1"/>
    <col min="3329" max="3329" width="3.85546875" bestFit="1" customWidth="1"/>
    <col min="3330" max="3330" width="61.5703125" customWidth="1"/>
    <col min="3331" max="3331" width="10" customWidth="1"/>
    <col min="3332" max="3332" width="11.85546875" customWidth="1"/>
    <col min="3333" max="3333" width="12.42578125" customWidth="1"/>
    <col min="3334" max="3334" width="9.7109375" customWidth="1"/>
    <col min="3335" max="3335" width="12" customWidth="1"/>
    <col min="3336" max="3336" width="13.28515625" customWidth="1"/>
    <col min="3337" max="3337" width="11.140625" customWidth="1"/>
    <col min="3338" max="3342" width="0" hidden="1" customWidth="1"/>
    <col min="3585" max="3585" width="3.85546875" bestFit="1" customWidth="1"/>
    <col min="3586" max="3586" width="61.5703125" customWidth="1"/>
    <col min="3587" max="3587" width="10" customWidth="1"/>
    <col min="3588" max="3588" width="11.85546875" customWidth="1"/>
    <col min="3589" max="3589" width="12.42578125" customWidth="1"/>
    <col min="3590" max="3590" width="9.7109375" customWidth="1"/>
    <col min="3591" max="3591" width="12" customWidth="1"/>
    <col min="3592" max="3592" width="13.28515625" customWidth="1"/>
    <col min="3593" max="3593" width="11.140625" customWidth="1"/>
    <col min="3594" max="3598" width="0" hidden="1" customWidth="1"/>
    <col min="3841" max="3841" width="3.85546875" bestFit="1" customWidth="1"/>
    <col min="3842" max="3842" width="61.5703125" customWidth="1"/>
    <col min="3843" max="3843" width="10" customWidth="1"/>
    <col min="3844" max="3844" width="11.85546875" customWidth="1"/>
    <col min="3845" max="3845" width="12.42578125" customWidth="1"/>
    <col min="3846" max="3846" width="9.7109375" customWidth="1"/>
    <col min="3847" max="3847" width="12" customWidth="1"/>
    <col min="3848" max="3848" width="13.28515625" customWidth="1"/>
    <col min="3849" max="3849" width="11.140625" customWidth="1"/>
    <col min="3850" max="3854" width="0" hidden="1" customWidth="1"/>
    <col min="4097" max="4097" width="3.85546875" bestFit="1" customWidth="1"/>
    <col min="4098" max="4098" width="61.5703125" customWidth="1"/>
    <col min="4099" max="4099" width="10" customWidth="1"/>
    <col min="4100" max="4100" width="11.85546875" customWidth="1"/>
    <col min="4101" max="4101" width="12.42578125" customWidth="1"/>
    <col min="4102" max="4102" width="9.7109375" customWidth="1"/>
    <col min="4103" max="4103" width="12" customWidth="1"/>
    <col min="4104" max="4104" width="13.28515625" customWidth="1"/>
    <col min="4105" max="4105" width="11.140625" customWidth="1"/>
    <col min="4106" max="4110" width="0" hidden="1" customWidth="1"/>
    <col min="4353" max="4353" width="3.85546875" bestFit="1" customWidth="1"/>
    <col min="4354" max="4354" width="61.5703125" customWidth="1"/>
    <col min="4355" max="4355" width="10" customWidth="1"/>
    <col min="4356" max="4356" width="11.85546875" customWidth="1"/>
    <col min="4357" max="4357" width="12.42578125" customWidth="1"/>
    <col min="4358" max="4358" width="9.7109375" customWidth="1"/>
    <col min="4359" max="4359" width="12" customWidth="1"/>
    <col min="4360" max="4360" width="13.28515625" customWidth="1"/>
    <col min="4361" max="4361" width="11.140625" customWidth="1"/>
    <col min="4362" max="4366" width="0" hidden="1" customWidth="1"/>
    <col min="4609" max="4609" width="3.85546875" bestFit="1" customWidth="1"/>
    <col min="4610" max="4610" width="61.5703125" customWidth="1"/>
    <col min="4611" max="4611" width="10" customWidth="1"/>
    <col min="4612" max="4612" width="11.85546875" customWidth="1"/>
    <col min="4613" max="4613" width="12.42578125" customWidth="1"/>
    <col min="4614" max="4614" width="9.7109375" customWidth="1"/>
    <col min="4615" max="4615" width="12" customWidth="1"/>
    <col min="4616" max="4616" width="13.28515625" customWidth="1"/>
    <col min="4617" max="4617" width="11.140625" customWidth="1"/>
    <col min="4618" max="4622" width="0" hidden="1" customWidth="1"/>
    <col min="4865" max="4865" width="3.85546875" bestFit="1" customWidth="1"/>
    <col min="4866" max="4866" width="61.5703125" customWidth="1"/>
    <col min="4867" max="4867" width="10" customWidth="1"/>
    <col min="4868" max="4868" width="11.85546875" customWidth="1"/>
    <col min="4869" max="4869" width="12.42578125" customWidth="1"/>
    <col min="4870" max="4870" width="9.7109375" customWidth="1"/>
    <col min="4871" max="4871" width="12" customWidth="1"/>
    <col min="4872" max="4872" width="13.28515625" customWidth="1"/>
    <col min="4873" max="4873" width="11.140625" customWidth="1"/>
    <col min="4874" max="4878" width="0" hidden="1" customWidth="1"/>
    <col min="5121" max="5121" width="3.85546875" bestFit="1" customWidth="1"/>
    <col min="5122" max="5122" width="61.5703125" customWidth="1"/>
    <col min="5123" max="5123" width="10" customWidth="1"/>
    <col min="5124" max="5124" width="11.85546875" customWidth="1"/>
    <col min="5125" max="5125" width="12.42578125" customWidth="1"/>
    <col min="5126" max="5126" width="9.7109375" customWidth="1"/>
    <col min="5127" max="5127" width="12" customWidth="1"/>
    <col min="5128" max="5128" width="13.28515625" customWidth="1"/>
    <col min="5129" max="5129" width="11.140625" customWidth="1"/>
    <col min="5130" max="5134" width="0" hidden="1" customWidth="1"/>
    <col min="5377" max="5377" width="3.85546875" bestFit="1" customWidth="1"/>
    <col min="5378" max="5378" width="61.5703125" customWidth="1"/>
    <col min="5379" max="5379" width="10" customWidth="1"/>
    <col min="5380" max="5380" width="11.85546875" customWidth="1"/>
    <col min="5381" max="5381" width="12.42578125" customWidth="1"/>
    <col min="5382" max="5382" width="9.7109375" customWidth="1"/>
    <col min="5383" max="5383" width="12" customWidth="1"/>
    <col min="5384" max="5384" width="13.28515625" customWidth="1"/>
    <col min="5385" max="5385" width="11.140625" customWidth="1"/>
    <col min="5386" max="5390" width="0" hidden="1" customWidth="1"/>
    <col min="5633" max="5633" width="3.85546875" bestFit="1" customWidth="1"/>
    <col min="5634" max="5634" width="61.5703125" customWidth="1"/>
    <col min="5635" max="5635" width="10" customWidth="1"/>
    <col min="5636" max="5636" width="11.85546875" customWidth="1"/>
    <col min="5637" max="5637" width="12.42578125" customWidth="1"/>
    <col min="5638" max="5638" width="9.7109375" customWidth="1"/>
    <col min="5639" max="5639" width="12" customWidth="1"/>
    <col min="5640" max="5640" width="13.28515625" customWidth="1"/>
    <col min="5641" max="5641" width="11.140625" customWidth="1"/>
    <col min="5642" max="5646" width="0" hidden="1" customWidth="1"/>
    <col min="5889" max="5889" width="3.85546875" bestFit="1" customWidth="1"/>
    <col min="5890" max="5890" width="61.5703125" customWidth="1"/>
    <col min="5891" max="5891" width="10" customWidth="1"/>
    <col min="5892" max="5892" width="11.85546875" customWidth="1"/>
    <col min="5893" max="5893" width="12.42578125" customWidth="1"/>
    <col min="5894" max="5894" width="9.7109375" customWidth="1"/>
    <col min="5895" max="5895" width="12" customWidth="1"/>
    <col min="5896" max="5896" width="13.28515625" customWidth="1"/>
    <col min="5897" max="5897" width="11.140625" customWidth="1"/>
    <col min="5898" max="5902" width="0" hidden="1" customWidth="1"/>
    <col min="6145" max="6145" width="3.85546875" bestFit="1" customWidth="1"/>
    <col min="6146" max="6146" width="61.5703125" customWidth="1"/>
    <col min="6147" max="6147" width="10" customWidth="1"/>
    <col min="6148" max="6148" width="11.85546875" customWidth="1"/>
    <col min="6149" max="6149" width="12.42578125" customWidth="1"/>
    <col min="6150" max="6150" width="9.7109375" customWidth="1"/>
    <col min="6151" max="6151" width="12" customWidth="1"/>
    <col min="6152" max="6152" width="13.28515625" customWidth="1"/>
    <col min="6153" max="6153" width="11.140625" customWidth="1"/>
    <col min="6154" max="6158" width="0" hidden="1" customWidth="1"/>
    <col min="6401" max="6401" width="3.85546875" bestFit="1" customWidth="1"/>
    <col min="6402" max="6402" width="61.5703125" customWidth="1"/>
    <col min="6403" max="6403" width="10" customWidth="1"/>
    <col min="6404" max="6404" width="11.85546875" customWidth="1"/>
    <col min="6405" max="6405" width="12.42578125" customWidth="1"/>
    <col min="6406" max="6406" width="9.7109375" customWidth="1"/>
    <col min="6407" max="6407" width="12" customWidth="1"/>
    <col min="6408" max="6408" width="13.28515625" customWidth="1"/>
    <col min="6409" max="6409" width="11.140625" customWidth="1"/>
    <col min="6410" max="6414" width="0" hidden="1" customWidth="1"/>
    <col min="6657" max="6657" width="3.85546875" bestFit="1" customWidth="1"/>
    <col min="6658" max="6658" width="61.5703125" customWidth="1"/>
    <col min="6659" max="6659" width="10" customWidth="1"/>
    <col min="6660" max="6660" width="11.85546875" customWidth="1"/>
    <col min="6661" max="6661" width="12.42578125" customWidth="1"/>
    <col min="6662" max="6662" width="9.7109375" customWidth="1"/>
    <col min="6663" max="6663" width="12" customWidth="1"/>
    <col min="6664" max="6664" width="13.28515625" customWidth="1"/>
    <col min="6665" max="6665" width="11.140625" customWidth="1"/>
    <col min="6666" max="6670" width="0" hidden="1" customWidth="1"/>
    <col min="6913" max="6913" width="3.85546875" bestFit="1" customWidth="1"/>
    <col min="6914" max="6914" width="61.5703125" customWidth="1"/>
    <col min="6915" max="6915" width="10" customWidth="1"/>
    <col min="6916" max="6916" width="11.85546875" customWidth="1"/>
    <col min="6917" max="6917" width="12.42578125" customWidth="1"/>
    <col min="6918" max="6918" width="9.7109375" customWidth="1"/>
    <col min="6919" max="6919" width="12" customWidth="1"/>
    <col min="6920" max="6920" width="13.28515625" customWidth="1"/>
    <col min="6921" max="6921" width="11.140625" customWidth="1"/>
    <col min="6922" max="6926" width="0" hidden="1" customWidth="1"/>
    <col min="7169" max="7169" width="3.85546875" bestFit="1" customWidth="1"/>
    <col min="7170" max="7170" width="61.5703125" customWidth="1"/>
    <col min="7171" max="7171" width="10" customWidth="1"/>
    <col min="7172" max="7172" width="11.85546875" customWidth="1"/>
    <col min="7173" max="7173" width="12.42578125" customWidth="1"/>
    <col min="7174" max="7174" width="9.7109375" customWidth="1"/>
    <col min="7175" max="7175" width="12" customWidth="1"/>
    <col min="7176" max="7176" width="13.28515625" customWidth="1"/>
    <col min="7177" max="7177" width="11.140625" customWidth="1"/>
    <col min="7178" max="7182" width="0" hidden="1" customWidth="1"/>
    <col min="7425" max="7425" width="3.85546875" bestFit="1" customWidth="1"/>
    <col min="7426" max="7426" width="61.5703125" customWidth="1"/>
    <col min="7427" max="7427" width="10" customWidth="1"/>
    <col min="7428" max="7428" width="11.85546875" customWidth="1"/>
    <col min="7429" max="7429" width="12.42578125" customWidth="1"/>
    <col min="7430" max="7430" width="9.7109375" customWidth="1"/>
    <col min="7431" max="7431" width="12" customWidth="1"/>
    <col min="7432" max="7432" width="13.28515625" customWidth="1"/>
    <col min="7433" max="7433" width="11.140625" customWidth="1"/>
    <col min="7434" max="7438" width="0" hidden="1" customWidth="1"/>
    <col min="7681" max="7681" width="3.85546875" bestFit="1" customWidth="1"/>
    <col min="7682" max="7682" width="61.5703125" customWidth="1"/>
    <col min="7683" max="7683" width="10" customWidth="1"/>
    <col min="7684" max="7684" width="11.85546875" customWidth="1"/>
    <col min="7685" max="7685" width="12.42578125" customWidth="1"/>
    <col min="7686" max="7686" width="9.7109375" customWidth="1"/>
    <col min="7687" max="7687" width="12" customWidth="1"/>
    <col min="7688" max="7688" width="13.28515625" customWidth="1"/>
    <col min="7689" max="7689" width="11.140625" customWidth="1"/>
    <col min="7690" max="7694" width="0" hidden="1" customWidth="1"/>
    <col min="7937" max="7937" width="3.85546875" bestFit="1" customWidth="1"/>
    <col min="7938" max="7938" width="61.5703125" customWidth="1"/>
    <col min="7939" max="7939" width="10" customWidth="1"/>
    <col min="7940" max="7940" width="11.85546875" customWidth="1"/>
    <col min="7941" max="7941" width="12.42578125" customWidth="1"/>
    <col min="7942" max="7942" width="9.7109375" customWidth="1"/>
    <col min="7943" max="7943" width="12" customWidth="1"/>
    <col min="7944" max="7944" width="13.28515625" customWidth="1"/>
    <col min="7945" max="7945" width="11.140625" customWidth="1"/>
    <col min="7946" max="7950" width="0" hidden="1" customWidth="1"/>
    <col min="8193" max="8193" width="3.85546875" bestFit="1" customWidth="1"/>
    <col min="8194" max="8194" width="61.5703125" customWidth="1"/>
    <col min="8195" max="8195" width="10" customWidth="1"/>
    <col min="8196" max="8196" width="11.85546875" customWidth="1"/>
    <col min="8197" max="8197" width="12.42578125" customWidth="1"/>
    <col min="8198" max="8198" width="9.7109375" customWidth="1"/>
    <col min="8199" max="8199" width="12" customWidth="1"/>
    <col min="8200" max="8200" width="13.28515625" customWidth="1"/>
    <col min="8201" max="8201" width="11.140625" customWidth="1"/>
    <col min="8202" max="8206" width="0" hidden="1" customWidth="1"/>
    <col min="8449" max="8449" width="3.85546875" bestFit="1" customWidth="1"/>
    <col min="8450" max="8450" width="61.5703125" customWidth="1"/>
    <col min="8451" max="8451" width="10" customWidth="1"/>
    <col min="8452" max="8452" width="11.85546875" customWidth="1"/>
    <col min="8453" max="8453" width="12.42578125" customWidth="1"/>
    <col min="8454" max="8454" width="9.7109375" customWidth="1"/>
    <col min="8455" max="8455" width="12" customWidth="1"/>
    <col min="8456" max="8456" width="13.28515625" customWidth="1"/>
    <col min="8457" max="8457" width="11.140625" customWidth="1"/>
    <col min="8458" max="8462" width="0" hidden="1" customWidth="1"/>
    <col min="8705" max="8705" width="3.85546875" bestFit="1" customWidth="1"/>
    <col min="8706" max="8706" width="61.5703125" customWidth="1"/>
    <col min="8707" max="8707" width="10" customWidth="1"/>
    <col min="8708" max="8708" width="11.85546875" customWidth="1"/>
    <col min="8709" max="8709" width="12.42578125" customWidth="1"/>
    <col min="8710" max="8710" width="9.7109375" customWidth="1"/>
    <col min="8711" max="8711" width="12" customWidth="1"/>
    <col min="8712" max="8712" width="13.28515625" customWidth="1"/>
    <col min="8713" max="8713" width="11.140625" customWidth="1"/>
    <col min="8714" max="8718" width="0" hidden="1" customWidth="1"/>
    <col min="8961" max="8961" width="3.85546875" bestFit="1" customWidth="1"/>
    <col min="8962" max="8962" width="61.5703125" customWidth="1"/>
    <col min="8963" max="8963" width="10" customWidth="1"/>
    <col min="8964" max="8964" width="11.85546875" customWidth="1"/>
    <col min="8965" max="8965" width="12.42578125" customWidth="1"/>
    <col min="8966" max="8966" width="9.7109375" customWidth="1"/>
    <col min="8967" max="8967" width="12" customWidth="1"/>
    <col min="8968" max="8968" width="13.28515625" customWidth="1"/>
    <col min="8969" max="8969" width="11.140625" customWidth="1"/>
    <col min="8970" max="8974" width="0" hidden="1" customWidth="1"/>
    <col min="9217" max="9217" width="3.85546875" bestFit="1" customWidth="1"/>
    <col min="9218" max="9218" width="61.5703125" customWidth="1"/>
    <col min="9219" max="9219" width="10" customWidth="1"/>
    <col min="9220" max="9220" width="11.85546875" customWidth="1"/>
    <col min="9221" max="9221" width="12.42578125" customWidth="1"/>
    <col min="9222" max="9222" width="9.7109375" customWidth="1"/>
    <col min="9223" max="9223" width="12" customWidth="1"/>
    <col min="9224" max="9224" width="13.28515625" customWidth="1"/>
    <col min="9225" max="9225" width="11.140625" customWidth="1"/>
    <col min="9226" max="9230" width="0" hidden="1" customWidth="1"/>
    <col min="9473" max="9473" width="3.85546875" bestFit="1" customWidth="1"/>
    <col min="9474" max="9474" width="61.5703125" customWidth="1"/>
    <col min="9475" max="9475" width="10" customWidth="1"/>
    <col min="9476" max="9476" width="11.85546875" customWidth="1"/>
    <col min="9477" max="9477" width="12.42578125" customWidth="1"/>
    <col min="9478" max="9478" width="9.7109375" customWidth="1"/>
    <col min="9479" max="9479" width="12" customWidth="1"/>
    <col min="9480" max="9480" width="13.28515625" customWidth="1"/>
    <col min="9481" max="9481" width="11.140625" customWidth="1"/>
    <col min="9482" max="9486" width="0" hidden="1" customWidth="1"/>
    <col min="9729" max="9729" width="3.85546875" bestFit="1" customWidth="1"/>
    <col min="9730" max="9730" width="61.5703125" customWidth="1"/>
    <col min="9731" max="9731" width="10" customWidth="1"/>
    <col min="9732" max="9732" width="11.85546875" customWidth="1"/>
    <col min="9733" max="9733" width="12.42578125" customWidth="1"/>
    <col min="9734" max="9734" width="9.7109375" customWidth="1"/>
    <col min="9735" max="9735" width="12" customWidth="1"/>
    <col min="9736" max="9736" width="13.28515625" customWidth="1"/>
    <col min="9737" max="9737" width="11.140625" customWidth="1"/>
    <col min="9738" max="9742" width="0" hidden="1" customWidth="1"/>
    <col min="9985" max="9985" width="3.85546875" bestFit="1" customWidth="1"/>
    <col min="9986" max="9986" width="61.5703125" customWidth="1"/>
    <col min="9987" max="9987" width="10" customWidth="1"/>
    <col min="9988" max="9988" width="11.85546875" customWidth="1"/>
    <col min="9989" max="9989" width="12.42578125" customWidth="1"/>
    <col min="9990" max="9990" width="9.7109375" customWidth="1"/>
    <col min="9991" max="9991" width="12" customWidth="1"/>
    <col min="9992" max="9992" width="13.28515625" customWidth="1"/>
    <col min="9993" max="9993" width="11.140625" customWidth="1"/>
    <col min="9994" max="9998" width="0" hidden="1" customWidth="1"/>
    <col min="10241" max="10241" width="3.85546875" bestFit="1" customWidth="1"/>
    <col min="10242" max="10242" width="61.5703125" customWidth="1"/>
    <col min="10243" max="10243" width="10" customWidth="1"/>
    <col min="10244" max="10244" width="11.85546875" customWidth="1"/>
    <col min="10245" max="10245" width="12.42578125" customWidth="1"/>
    <col min="10246" max="10246" width="9.7109375" customWidth="1"/>
    <col min="10247" max="10247" width="12" customWidth="1"/>
    <col min="10248" max="10248" width="13.28515625" customWidth="1"/>
    <col min="10249" max="10249" width="11.140625" customWidth="1"/>
    <col min="10250" max="10254" width="0" hidden="1" customWidth="1"/>
    <col min="10497" max="10497" width="3.85546875" bestFit="1" customWidth="1"/>
    <col min="10498" max="10498" width="61.5703125" customWidth="1"/>
    <col min="10499" max="10499" width="10" customWidth="1"/>
    <col min="10500" max="10500" width="11.85546875" customWidth="1"/>
    <col min="10501" max="10501" width="12.42578125" customWidth="1"/>
    <col min="10502" max="10502" width="9.7109375" customWidth="1"/>
    <col min="10503" max="10503" width="12" customWidth="1"/>
    <col min="10504" max="10504" width="13.28515625" customWidth="1"/>
    <col min="10505" max="10505" width="11.140625" customWidth="1"/>
    <col min="10506" max="10510" width="0" hidden="1" customWidth="1"/>
    <col min="10753" max="10753" width="3.85546875" bestFit="1" customWidth="1"/>
    <col min="10754" max="10754" width="61.5703125" customWidth="1"/>
    <col min="10755" max="10755" width="10" customWidth="1"/>
    <col min="10756" max="10756" width="11.85546875" customWidth="1"/>
    <col min="10757" max="10757" width="12.42578125" customWidth="1"/>
    <col min="10758" max="10758" width="9.7109375" customWidth="1"/>
    <col min="10759" max="10759" width="12" customWidth="1"/>
    <col min="10760" max="10760" width="13.28515625" customWidth="1"/>
    <col min="10761" max="10761" width="11.140625" customWidth="1"/>
    <col min="10762" max="10766" width="0" hidden="1" customWidth="1"/>
    <col min="11009" max="11009" width="3.85546875" bestFit="1" customWidth="1"/>
    <col min="11010" max="11010" width="61.5703125" customWidth="1"/>
    <col min="11011" max="11011" width="10" customWidth="1"/>
    <col min="11012" max="11012" width="11.85546875" customWidth="1"/>
    <col min="11013" max="11013" width="12.42578125" customWidth="1"/>
    <col min="11014" max="11014" width="9.7109375" customWidth="1"/>
    <col min="11015" max="11015" width="12" customWidth="1"/>
    <col min="11016" max="11016" width="13.28515625" customWidth="1"/>
    <col min="11017" max="11017" width="11.140625" customWidth="1"/>
    <col min="11018" max="11022" width="0" hidden="1" customWidth="1"/>
    <col min="11265" max="11265" width="3.85546875" bestFit="1" customWidth="1"/>
    <col min="11266" max="11266" width="61.5703125" customWidth="1"/>
    <col min="11267" max="11267" width="10" customWidth="1"/>
    <col min="11268" max="11268" width="11.85546875" customWidth="1"/>
    <col min="11269" max="11269" width="12.42578125" customWidth="1"/>
    <col min="11270" max="11270" width="9.7109375" customWidth="1"/>
    <col min="11271" max="11271" width="12" customWidth="1"/>
    <col min="11272" max="11272" width="13.28515625" customWidth="1"/>
    <col min="11273" max="11273" width="11.140625" customWidth="1"/>
    <col min="11274" max="11278" width="0" hidden="1" customWidth="1"/>
    <col min="11521" max="11521" width="3.85546875" bestFit="1" customWidth="1"/>
    <col min="11522" max="11522" width="61.5703125" customWidth="1"/>
    <col min="11523" max="11523" width="10" customWidth="1"/>
    <col min="11524" max="11524" width="11.85546875" customWidth="1"/>
    <col min="11525" max="11525" width="12.42578125" customWidth="1"/>
    <col min="11526" max="11526" width="9.7109375" customWidth="1"/>
    <col min="11527" max="11527" width="12" customWidth="1"/>
    <col min="11528" max="11528" width="13.28515625" customWidth="1"/>
    <col min="11529" max="11529" width="11.140625" customWidth="1"/>
    <col min="11530" max="11534" width="0" hidden="1" customWidth="1"/>
    <col min="11777" max="11777" width="3.85546875" bestFit="1" customWidth="1"/>
    <col min="11778" max="11778" width="61.5703125" customWidth="1"/>
    <col min="11779" max="11779" width="10" customWidth="1"/>
    <col min="11780" max="11780" width="11.85546875" customWidth="1"/>
    <col min="11781" max="11781" width="12.42578125" customWidth="1"/>
    <col min="11782" max="11782" width="9.7109375" customWidth="1"/>
    <col min="11783" max="11783" width="12" customWidth="1"/>
    <col min="11784" max="11784" width="13.28515625" customWidth="1"/>
    <col min="11785" max="11785" width="11.140625" customWidth="1"/>
    <col min="11786" max="11790" width="0" hidden="1" customWidth="1"/>
    <col min="12033" max="12033" width="3.85546875" bestFit="1" customWidth="1"/>
    <col min="12034" max="12034" width="61.5703125" customWidth="1"/>
    <col min="12035" max="12035" width="10" customWidth="1"/>
    <col min="12036" max="12036" width="11.85546875" customWidth="1"/>
    <col min="12037" max="12037" width="12.42578125" customWidth="1"/>
    <col min="12038" max="12038" width="9.7109375" customWidth="1"/>
    <col min="12039" max="12039" width="12" customWidth="1"/>
    <col min="12040" max="12040" width="13.28515625" customWidth="1"/>
    <col min="12041" max="12041" width="11.140625" customWidth="1"/>
    <col min="12042" max="12046" width="0" hidden="1" customWidth="1"/>
    <col min="12289" max="12289" width="3.85546875" bestFit="1" customWidth="1"/>
    <col min="12290" max="12290" width="61.5703125" customWidth="1"/>
    <col min="12291" max="12291" width="10" customWidth="1"/>
    <col min="12292" max="12292" width="11.85546875" customWidth="1"/>
    <col min="12293" max="12293" width="12.42578125" customWidth="1"/>
    <col min="12294" max="12294" width="9.7109375" customWidth="1"/>
    <col min="12295" max="12295" width="12" customWidth="1"/>
    <col min="12296" max="12296" width="13.28515625" customWidth="1"/>
    <col min="12297" max="12297" width="11.140625" customWidth="1"/>
    <col min="12298" max="12302" width="0" hidden="1" customWidth="1"/>
    <col min="12545" max="12545" width="3.85546875" bestFit="1" customWidth="1"/>
    <col min="12546" max="12546" width="61.5703125" customWidth="1"/>
    <col min="12547" max="12547" width="10" customWidth="1"/>
    <col min="12548" max="12548" width="11.85546875" customWidth="1"/>
    <col min="12549" max="12549" width="12.42578125" customWidth="1"/>
    <col min="12550" max="12550" width="9.7109375" customWidth="1"/>
    <col min="12551" max="12551" width="12" customWidth="1"/>
    <col min="12552" max="12552" width="13.28515625" customWidth="1"/>
    <col min="12553" max="12553" width="11.140625" customWidth="1"/>
    <col min="12554" max="12558" width="0" hidden="1" customWidth="1"/>
    <col min="12801" max="12801" width="3.85546875" bestFit="1" customWidth="1"/>
    <col min="12802" max="12802" width="61.5703125" customWidth="1"/>
    <col min="12803" max="12803" width="10" customWidth="1"/>
    <col min="12804" max="12804" width="11.85546875" customWidth="1"/>
    <col min="12805" max="12805" width="12.42578125" customWidth="1"/>
    <col min="12806" max="12806" width="9.7109375" customWidth="1"/>
    <col min="12807" max="12807" width="12" customWidth="1"/>
    <col min="12808" max="12808" width="13.28515625" customWidth="1"/>
    <col min="12809" max="12809" width="11.140625" customWidth="1"/>
    <col min="12810" max="12814" width="0" hidden="1" customWidth="1"/>
    <col min="13057" max="13057" width="3.85546875" bestFit="1" customWidth="1"/>
    <col min="13058" max="13058" width="61.5703125" customWidth="1"/>
    <col min="13059" max="13059" width="10" customWidth="1"/>
    <col min="13060" max="13060" width="11.85546875" customWidth="1"/>
    <col min="13061" max="13061" width="12.42578125" customWidth="1"/>
    <col min="13062" max="13062" width="9.7109375" customWidth="1"/>
    <col min="13063" max="13063" width="12" customWidth="1"/>
    <col min="13064" max="13064" width="13.28515625" customWidth="1"/>
    <col min="13065" max="13065" width="11.140625" customWidth="1"/>
    <col min="13066" max="13070" width="0" hidden="1" customWidth="1"/>
    <col min="13313" max="13313" width="3.85546875" bestFit="1" customWidth="1"/>
    <col min="13314" max="13314" width="61.5703125" customWidth="1"/>
    <col min="13315" max="13315" width="10" customWidth="1"/>
    <col min="13316" max="13316" width="11.85546875" customWidth="1"/>
    <col min="13317" max="13317" width="12.42578125" customWidth="1"/>
    <col min="13318" max="13318" width="9.7109375" customWidth="1"/>
    <col min="13319" max="13319" width="12" customWidth="1"/>
    <col min="13320" max="13320" width="13.28515625" customWidth="1"/>
    <col min="13321" max="13321" width="11.140625" customWidth="1"/>
    <col min="13322" max="13326" width="0" hidden="1" customWidth="1"/>
    <col min="13569" max="13569" width="3.85546875" bestFit="1" customWidth="1"/>
    <col min="13570" max="13570" width="61.5703125" customWidth="1"/>
    <col min="13571" max="13571" width="10" customWidth="1"/>
    <col min="13572" max="13572" width="11.85546875" customWidth="1"/>
    <col min="13573" max="13573" width="12.42578125" customWidth="1"/>
    <col min="13574" max="13574" width="9.7109375" customWidth="1"/>
    <col min="13575" max="13575" width="12" customWidth="1"/>
    <col min="13576" max="13576" width="13.28515625" customWidth="1"/>
    <col min="13577" max="13577" width="11.140625" customWidth="1"/>
    <col min="13578" max="13582" width="0" hidden="1" customWidth="1"/>
    <col min="13825" max="13825" width="3.85546875" bestFit="1" customWidth="1"/>
    <col min="13826" max="13826" width="61.5703125" customWidth="1"/>
    <col min="13827" max="13827" width="10" customWidth="1"/>
    <col min="13828" max="13828" width="11.85546875" customWidth="1"/>
    <col min="13829" max="13829" width="12.42578125" customWidth="1"/>
    <col min="13830" max="13830" width="9.7109375" customWidth="1"/>
    <col min="13831" max="13831" width="12" customWidth="1"/>
    <col min="13832" max="13832" width="13.28515625" customWidth="1"/>
    <col min="13833" max="13833" width="11.140625" customWidth="1"/>
    <col min="13834" max="13838" width="0" hidden="1" customWidth="1"/>
    <col min="14081" max="14081" width="3.85546875" bestFit="1" customWidth="1"/>
    <col min="14082" max="14082" width="61.5703125" customWidth="1"/>
    <col min="14083" max="14083" width="10" customWidth="1"/>
    <col min="14084" max="14084" width="11.85546875" customWidth="1"/>
    <col min="14085" max="14085" width="12.42578125" customWidth="1"/>
    <col min="14086" max="14086" width="9.7109375" customWidth="1"/>
    <col min="14087" max="14087" width="12" customWidth="1"/>
    <col min="14088" max="14088" width="13.28515625" customWidth="1"/>
    <col min="14089" max="14089" width="11.140625" customWidth="1"/>
    <col min="14090" max="14094" width="0" hidden="1" customWidth="1"/>
    <col min="14337" max="14337" width="3.85546875" bestFit="1" customWidth="1"/>
    <col min="14338" max="14338" width="61.5703125" customWidth="1"/>
    <col min="14339" max="14339" width="10" customWidth="1"/>
    <col min="14340" max="14340" width="11.85546875" customWidth="1"/>
    <col min="14341" max="14341" width="12.42578125" customWidth="1"/>
    <col min="14342" max="14342" width="9.7109375" customWidth="1"/>
    <col min="14343" max="14343" width="12" customWidth="1"/>
    <col min="14344" max="14344" width="13.28515625" customWidth="1"/>
    <col min="14345" max="14345" width="11.140625" customWidth="1"/>
    <col min="14346" max="14350" width="0" hidden="1" customWidth="1"/>
    <col min="14593" max="14593" width="3.85546875" bestFit="1" customWidth="1"/>
    <col min="14594" max="14594" width="61.5703125" customWidth="1"/>
    <col min="14595" max="14595" width="10" customWidth="1"/>
    <col min="14596" max="14596" width="11.85546875" customWidth="1"/>
    <col min="14597" max="14597" width="12.42578125" customWidth="1"/>
    <col min="14598" max="14598" width="9.7109375" customWidth="1"/>
    <col min="14599" max="14599" width="12" customWidth="1"/>
    <col min="14600" max="14600" width="13.28515625" customWidth="1"/>
    <col min="14601" max="14601" width="11.140625" customWidth="1"/>
    <col min="14602" max="14606" width="0" hidden="1" customWidth="1"/>
    <col min="14849" max="14849" width="3.85546875" bestFit="1" customWidth="1"/>
    <col min="14850" max="14850" width="61.5703125" customWidth="1"/>
    <col min="14851" max="14851" width="10" customWidth="1"/>
    <col min="14852" max="14852" width="11.85546875" customWidth="1"/>
    <col min="14853" max="14853" width="12.42578125" customWidth="1"/>
    <col min="14854" max="14854" width="9.7109375" customWidth="1"/>
    <col min="14855" max="14855" width="12" customWidth="1"/>
    <col min="14856" max="14856" width="13.28515625" customWidth="1"/>
    <col min="14857" max="14857" width="11.140625" customWidth="1"/>
    <col min="14858" max="14862" width="0" hidden="1" customWidth="1"/>
    <col min="15105" max="15105" width="3.85546875" bestFit="1" customWidth="1"/>
    <col min="15106" max="15106" width="61.5703125" customWidth="1"/>
    <col min="15107" max="15107" width="10" customWidth="1"/>
    <col min="15108" max="15108" width="11.85546875" customWidth="1"/>
    <col min="15109" max="15109" width="12.42578125" customWidth="1"/>
    <col min="15110" max="15110" width="9.7109375" customWidth="1"/>
    <col min="15111" max="15111" width="12" customWidth="1"/>
    <col min="15112" max="15112" width="13.28515625" customWidth="1"/>
    <col min="15113" max="15113" width="11.140625" customWidth="1"/>
    <col min="15114" max="15118" width="0" hidden="1" customWidth="1"/>
    <col min="15361" max="15361" width="3.85546875" bestFit="1" customWidth="1"/>
    <col min="15362" max="15362" width="61.5703125" customWidth="1"/>
    <col min="15363" max="15363" width="10" customWidth="1"/>
    <col min="15364" max="15364" width="11.85546875" customWidth="1"/>
    <col min="15365" max="15365" width="12.42578125" customWidth="1"/>
    <col min="15366" max="15366" width="9.7109375" customWidth="1"/>
    <col min="15367" max="15367" width="12" customWidth="1"/>
    <col min="15368" max="15368" width="13.28515625" customWidth="1"/>
    <col min="15369" max="15369" width="11.140625" customWidth="1"/>
    <col min="15370" max="15374" width="0" hidden="1" customWidth="1"/>
    <col min="15617" max="15617" width="3.85546875" bestFit="1" customWidth="1"/>
    <col min="15618" max="15618" width="61.5703125" customWidth="1"/>
    <col min="15619" max="15619" width="10" customWidth="1"/>
    <col min="15620" max="15620" width="11.85546875" customWidth="1"/>
    <col min="15621" max="15621" width="12.42578125" customWidth="1"/>
    <col min="15622" max="15622" width="9.7109375" customWidth="1"/>
    <col min="15623" max="15623" width="12" customWidth="1"/>
    <col min="15624" max="15624" width="13.28515625" customWidth="1"/>
    <col min="15625" max="15625" width="11.140625" customWidth="1"/>
    <col min="15626" max="15630" width="0" hidden="1" customWidth="1"/>
    <col min="15873" max="15873" width="3.85546875" bestFit="1" customWidth="1"/>
    <col min="15874" max="15874" width="61.5703125" customWidth="1"/>
    <col min="15875" max="15875" width="10" customWidth="1"/>
    <col min="15876" max="15876" width="11.85546875" customWidth="1"/>
    <col min="15877" max="15877" width="12.42578125" customWidth="1"/>
    <col min="15878" max="15878" width="9.7109375" customWidth="1"/>
    <col min="15879" max="15879" width="12" customWidth="1"/>
    <col min="15880" max="15880" width="13.28515625" customWidth="1"/>
    <col min="15881" max="15881" width="11.140625" customWidth="1"/>
    <col min="15882" max="15886" width="0" hidden="1" customWidth="1"/>
    <col min="16129" max="16129" width="3.85546875" bestFit="1" customWidth="1"/>
    <col min="16130" max="16130" width="61.5703125" customWidth="1"/>
    <col min="16131" max="16131" width="10" customWidth="1"/>
    <col min="16132" max="16132" width="11.85546875" customWidth="1"/>
    <col min="16133" max="16133" width="12.42578125" customWidth="1"/>
    <col min="16134" max="16134" width="9.7109375" customWidth="1"/>
    <col min="16135" max="16135" width="12" customWidth="1"/>
    <col min="16136" max="16136" width="13.28515625" customWidth="1"/>
    <col min="16137" max="16137" width="11.140625" customWidth="1"/>
    <col min="16138" max="16142" width="0" hidden="1" customWidth="1"/>
  </cols>
  <sheetData>
    <row r="1" spans="1:11" ht="48" customHeight="1">
      <c r="A1" s="282" t="s">
        <v>247</v>
      </c>
      <c r="B1" s="283"/>
      <c r="C1" s="283"/>
      <c r="D1" s="283"/>
      <c r="E1" s="283"/>
      <c r="F1" s="283"/>
      <c r="G1" s="283"/>
      <c r="H1" s="283"/>
      <c r="I1" s="284"/>
      <c r="J1" s="1"/>
      <c r="K1">
        <f>8183508+115914+111083+8065006+3950803</f>
        <v>20426314</v>
      </c>
    </row>
    <row r="2" spans="1:11" ht="17.25" customHeight="1">
      <c r="A2" s="285" t="s">
        <v>0</v>
      </c>
      <c r="B2" s="287" t="s">
        <v>1</v>
      </c>
      <c r="C2" s="287" t="s">
        <v>2</v>
      </c>
      <c r="D2" s="288" t="s">
        <v>248</v>
      </c>
      <c r="E2" s="289"/>
      <c r="F2" s="289"/>
      <c r="G2" s="289"/>
      <c r="H2" s="290" t="s">
        <v>249</v>
      </c>
      <c r="I2" s="288" t="s">
        <v>3</v>
      </c>
    </row>
    <row r="3" spans="1:11" ht="22.5" customHeight="1">
      <c r="A3" s="286"/>
      <c r="B3" s="287"/>
      <c r="C3" s="287"/>
      <c r="D3" s="194" t="s">
        <v>4</v>
      </c>
      <c r="E3" s="193" t="s">
        <v>5</v>
      </c>
      <c r="F3" s="193" t="s">
        <v>6</v>
      </c>
      <c r="G3" s="193" t="s">
        <v>7</v>
      </c>
      <c r="H3" s="290"/>
      <c r="I3" s="288"/>
    </row>
    <row r="4" spans="1:11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1" ht="15.75">
      <c r="A5" s="15" t="s">
        <v>9</v>
      </c>
      <c r="B5" s="52" t="s">
        <v>10</v>
      </c>
      <c r="C5" s="196" t="s">
        <v>11</v>
      </c>
      <c r="D5" s="5">
        <f>D8+D9+D7</f>
        <v>4800</v>
      </c>
      <c r="E5" s="5">
        <f>E8+E9+E7</f>
        <v>5073.8770000000004</v>
      </c>
      <c r="F5" s="5">
        <f>ROUND(E5/D5*100,1)</f>
        <v>105.7</v>
      </c>
      <c r="G5" s="5">
        <f>E5-D5</f>
        <v>273.87700000000041</v>
      </c>
      <c r="H5" s="6">
        <f>H7+H8+H9</f>
        <v>4781.192</v>
      </c>
      <c r="I5" s="6">
        <f>IF(H5&gt;0,ROUND(E5/H5*100,1),0)</f>
        <v>106.1</v>
      </c>
    </row>
    <row r="6" spans="1:11" ht="14.25" customHeight="1">
      <c r="A6" s="15"/>
      <c r="B6" s="15" t="s">
        <v>12</v>
      </c>
      <c r="C6" s="15"/>
      <c r="D6" s="19"/>
      <c r="E6" s="19"/>
      <c r="F6" s="34"/>
      <c r="G6" s="34"/>
      <c r="H6" s="18"/>
      <c r="I6" s="34"/>
    </row>
    <row r="7" spans="1:11" ht="15.75">
      <c r="A7" s="15"/>
      <c r="B7" s="29" t="s">
        <v>13</v>
      </c>
      <c r="C7" s="15" t="s">
        <v>11</v>
      </c>
      <c r="D7" s="34">
        <v>4246</v>
      </c>
      <c r="E7" s="34">
        <v>4542.6869999999999</v>
      </c>
      <c r="F7" s="34">
        <f>ROUND(E7/D7*100,1)</f>
        <v>107</v>
      </c>
      <c r="G7" s="34">
        <f>E7-D7</f>
        <v>296.6869999999999</v>
      </c>
      <c r="H7" s="18">
        <v>3950.181</v>
      </c>
      <c r="I7" s="18">
        <f t="shared" ref="I7:I14" si="0">IF(H7&gt;0,ROUND(E7/H7*100,1),0)</f>
        <v>115</v>
      </c>
    </row>
    <row r="8" spans="1:11" ht="15.75">
      <c r="A8" s="15"/>
      <c r="B8" s="29" t="s">
        <v>14</v>
      </c>
      <c r="C8" s="15" t="s">
        <v>11</v>
      </c>
      <c r="D8" s="34">
        <v>54</v>
      </c>
      <c r="E8" s="34">
        <v>62.192999999999998</v>
      </c>
      <c r="F8" s="34">
        <f>ROUND(E8/D8*100,1)</f>
        <v>115.2</v>
      </c>
      <c r="G8" s="34">
        <f>E8-D8</f>
        <v>8.1929999999999978</v>
      </c>
      <c r="H8" s="18">
        <v>63.206000000000003</v>
      </c>
      <c r="I8" s="18">
        <f t="shared" si="0"/>
        <v>98.4</v>
      </c>
    </row>
    <row r="9" spans="1:11" ht="15.75">
      <c r="A9" s="15"/>
      <c r="B9" s="29" t="s">
        <v>15</v>
      </c>
      <c r="C9" s="15" t="s">
        <v>11</v>
      </c>
      <c r="D9" s="34">
        <v>500</v>
      </c>
      <c r="E9" s="34">
        <v>468.99700000000001</v>
      </c>
      <c r="F9" s="34">
        <f>ROUND(E9/D9*100,1)</f>
        <v>93.8</v>
      </c>
      <c r="G9" s="34">
        <f>E9-D9</f>
        <v>-31.002999999999986</v>
      </c>
      <c r="H9" s="18">
        <v>767.80499999999995</v>
      </c>
      <c r="I9" s="18">
        <f t="shared" si="0"/>
        <v>61.1</v>
      </c>
    </row>
    <row r="10" spans="1:11" ht="15.75">
      <c r="A10" s="15" t="s">
        <v>16</v>
      </c>
      <c r="B10" s="52" t="s">
        <v>17</v>
      </c>
      <c r="C10" s="197" t="s">
        <v>11</v>
      </c>
      <c r="D10" s="5">
        <f>D12+D13</f>
        <v>650</v>
      </c>
      <c r="E10" s="5">
        <f>E12+E13</f>
        <v>815.62099999999998</v>
      </c>
      <c r="F10" s="5">
        <f>ROUND(E10/D10*100,1)</f>
        <v>125.5</v>
      </c>
      <c r="G10" s="5">
        <f>E10-D10</f>
        <v>165.62099999999998</v>
      </c>
      <c r="H10" s="6">
        <v>373.43900000000002</v>
      </c>
      <c r="I10" s="18">
        <f t="shared" si="0"/>
        <v>218.4</v>
      </c>
    </row>
    <row r="11" spans="1:11" ht="13.5" customHeight="1">
      <c r="A11" s="15"/>
      <c r="B11" s="15" t="s">
        <v>12</v>
      </c>
      <c r="C11" s="15"/>
      <c r="D11" s="34">
        <f>'[11]2020 г. для давлат (2'!D11</f>
        <v>0</v>
      </c>
      <c r="E11" s="34">
        <f>'[11]2020 г. для давлат (2'!E11</f>
        <v>0</v>
      </c>
      <c r="F11" s="34"/>
      <c r="G11" s="34"/>
      <c r="H11" s="18">
        <v>0</v>
      </c>
      <c r="I11" s="18">
        <f t="shared" si="0"/>
        <v>0</v>
      </c>
    </row>
    <row r="12" spans="1:11" ht="15.75">
      <c r="A12" s="15"/>
      <c r="B12" s="29" t="s">
        <v>18</v>
      </c>
      <c r="C12" s="15" t="s">
        <v>11</v>
      </c>
      <c r="D12" s="34">
        <v>210</v>
      </c>
      <c r="E12" s="34">
        <v>441.96699999999998</v>
      </c>
      <c r="F12" s="34">
        <f>ROUND(E12/D12*100,1)</f>
        <v>210.5</v>
      </c>
      <c r="G12" s="34">
        <f>E12-D12</f>
        <v>231.96699999999998</v>
      </c>
      <c r="H12" s="18">
        <v>200.22800000000001</v>
      </c>
      <c r="I12" s="18">
        <f t="shared" si="0"/>
        <v>220.7</v>
      </c>
    </row>
    <row r="13" spans="1:11" ht="15.75">
      <c r="A13" s="15"/>
      <c r="B13" s="29" t="s">
        <v>19</v>
      </c>
      <c r="C13" s="15" t="s">
        <v>11</v>
      </c>
      <c r="D13" s="34">
        <v>440</v>
      </c>
      <c r="E13" s="34">
        <v>373.654</v>
      </c>
      <c r="F13" s="34">
        <f>ROUND(E13/D13*100,1)</f>
        <v>84.9</v>
      </c>
      <c r="G13" s="34">
        <f>E13-D13</f>
        <v>-66.346000000000004</v>
      </c>
      <c r="H13" s="18">
        <v>213.68100000000001</v>
      </c>
      <c r="I13" s="18">
        <f t="shared" si="0"/>
        <v>174.9</v>
      </c>
    </row>
    <row r="14" spans="1:11" ht="15.75">
      <c r="A14" s="15" t="s">
        <v>20</v>
      </c>
      <c r="B14" s="52" t="s">
        <v>21</v>
      </c>
      <c r="C14" s="196" t="s">
        <v>11</v>
      </c>
      <c r="D14" s="5">
        <f>D16+D17+D18</f>
        <v>4494</v>
      </c>
      <c r="E14" s="5">
        <f>E16+E17+E18</f>
        <v>5318.3</v>
      </c>
      <c r="F14" s="5">
        <f>ROUND(E14/D14*100,1)</f>
        <v>118.3</v>
      </c>
      <c r="G14" s="5">
        <f>E14-D14</f>
        <v>824.30000000000018</v>
      </c>
      <c r="H14" s="6">
        <f>H16+H17+H18</f>
        <v>5182.3010000000004</v>
      </c>
      <c r="I14" s="6">
        <f t="shared" si="0"/>
        <v>102.6</v>
      </c>
      <c r="J14" t="s">
        <v>22</v>
      </c>
    </row>
    <row r="15" spans="1:11" ht="14.25" customHeight="1">
      <c r="A15" s="15"/>
      <c r="B15" s="15" t="s">
        <v>12</v>
      </c>
      <c r="C15" s="15"/>
      <c r="D15" s="34"/>
      <c r="E15" s="34">
        <f>'[11]2020 г. для давлат (2'!E15</f>
        <v>0</v>
      </c>
      <c r="F15" s="34"/>
      <c r="G15" s="34"/>
      <c r="H15" s="18">
        <v>0</v>
      </c>
      <c r="I15" s="34"/>
    </row>
    <row r="16" spans="1:11" ht="15.75">
      <c r="A16" s="15"/>
      <c r="B16" s="29" t="s">
        <v>13</v>
      </c>
      <c r="C16" s="15" t="s">
        <v>11</v>
      </c>
      <c r="D16" s="34">
        <v>3894.4</v>
      </c>
      <c r="E16" s="34">
        <v>4605.4390000000003</v>
      </c>
      <c r="F16" s="34">
        <f>ROUND(E16/D16*100,1)</f>
        <v>118.3</v>
      </c>
      <c r="G16" s="34">
        <f>E16-D16</f>
        <v>711.03900000000021</v>
      </c>
      <c r="H16" s="18">
        <v>4459.3</v>
      </c>
      <c r="I16" s="18">
        <f>IF(H16&gt;0,ROUND(E16/H16*100,1),0)</f>
        <v>103.3</v>
      </c>
      <c r="J16" t="s">
        <v>22</v>
      </c>
    </row>
    <row r="17" spans="1:12" ht="15.75">
      <c r="A17" s="15"/>
      <c r="B17" s="29" t="s">
        <v>14</v>
      </c>
      <c r="C17" s="15" t="s">
        <v>11</v>
      </c>
      <c r="D17" s="34">
        <v>54</v>
      </c>
      <c r="E17" s="34">
        <v>62.009</v>
      </c>
      <c r="F17" s="34">
        <f>ROUND(E17/D17*100,1)</f>
        <v>114.8</v>
      </c>
      <c r="G17" s="34">
        <f>E17-D17</f>
        <v>8.0090000000000003</v>
      </c>
      <c r="H17" s="18">
        <v>63.405999999999999</v>
      </c>
      <c r="I17" s="18">
        <f>IF(H17&gt;0,ROUND(E17/H17*100,1),0)</f>
        <v>97.8</v>
      </c>
      <c r="J17" t="s">
        <v>22</v>
      </c>
    </row>
    <row r="18" spans="1:12" ht="15.75">
      <c r="A18" s="15"/>
      <c r="B18" s="29" t="s">
        <v>15</v>
      </c>
      <c r="C18" s="15" t="s">
        <v>11</v>
      </c>
      <c r="D18" s="34">
        <v>545.6</v>
      </c>
      <c r="E18" s="34">
        <v>650.85199999999998</v>
      </c>
      <c r="F18" s="34">
        <f>ROUND(E18/D18*100,1)</f>
        <v>119.3</v>
      </c>
      <c r="G18" s="34">
        <f>E18-D18</f>
        <v>105.25199999999995</v>
      </c>
      <c r="H18" s="18">
        <v>659.59500000000003</v>
      </c>
      <c r="I18" s="18">
        <f>IF(H18&gt;0,ROUND(E18/H18*100,1),0)</f>
        <v>98.7</v>
      </c>
    </row>
    <row r="19" spans="1:12" ht="18.75">
      <c r="A19" s="15" t="s">
        <v>23</v>
      </c>
      <c r="B19" s="52" t="s">
        <v>24</v>
      </c>
      <c r="C19" s="196" t="s">
        <v>25</v>
      </c>
      <c r="D19" s="5">
        <f>D21+D22</f>
        <v>34400</v>
      </c>
      <c r="E19" s="5">
        <f>E21+E22</f>
        <v>17375.77</v>
      </c>
      <c r="F19" s="5">
        <f>ROUND(E19/D19*100,1)</f>
        <v>50.5</v>
      </c>
      <c r="G19" s="5">
        <f>E19-D19</f>
        <v>-17024.23</v>
      </c>
      <c r="H19" s="6">
        <f>H21+H22+H24</f>
        <v>29539.553</v>
      </c>
      <c r="I19" s="6">
        <f>IF(H19&gt;0,ROUND(E19/H19*100,1),0)</f>
        <v>58.8</v>
      </c>
      <c r="J19" t="s">
        <v>22</v>
      </c>
    </row>
    <row r="20" spans="1:12" ht="15.75">
      <c r="A20" s="15"/>
      <c r="B20" s="52" t="s">
        <v>26</v>
      </c>
      <c r="C20" s="15"/>
      <c r="D20" s="34"/>
      <c r="E20" s="34"/>
      <c r="F20" s="34"/>
      <c r="G20" s="34"/>
      <c r="H20" s="18">
        <v>0</v>
      </c>
      <c r="I20" s="34"/>
      <c r="L20" s="11"/>
    </row>
    <row r="21" spans="1:12" ht="18.75">
      <c r="A21" s="15"/>
      <c r="B21" s="29" t="s">
        <v>27</v>
      </c>
      <c r="C21" s="15" t="s">
        <v>28</v>
      </c>
      <c r="D21" s="34">
        <v>9100</v>
      </c>
      <c r="E21" s="34">
        <v>6284.2309999999998</v>
      </c>
      <c r="F21" s="34">
        <f>ROUND(E21/D21*100,1)</f>
        <v>69.099999999999994</v>
      </c>
      <c r="G21" s="34">
        <f t="shared" ref="G21:G31" si="1">E21-D21</f>
        <v>-2815.7690000000002</v>
      </c>
      <c r="H21" s="18">
        <v>8153.7479999999996</v>
      </c>
      <c r="I21" s="18">
        <f>IF(H21&gt;0,ROUND(E21/H21*100,1),0)</f>
        <v>77.099999999999994</v>
      </c>
      <c r="J21" t="s">
        <v>22</v>
      </c>
    </row>
    <row r="22" spans="1:12" ht="18.75">
      <c r="A22" s="15"/>
      <c r="B22" s="29" t="s">
        <v>29</v>
      </c>
      <c r="C22" s="15" t="s">
        <v>28</v>
      </c>
      <c r="D22" s="34">
        <v>25300</v>
      </c>
      <c r="E22" s="34">
        <v>11091.539000000001</v>
      </c>
      <c r="F22" s="34">
        <f>ROUND(E22/D22*100,1)</f>
        <v>43.8</v>
      </c>
      <c r="G22" s="34">
        <f t="shared" si="1"/>
        <v>-14208.460999999999</v>
      </c>
      <c r="H22" s="18">
        <v>21385.805</v>
      </c>
      <c r="I22" s="18">
        <f>IF(H22&gt;0,ROUND(E22/H22*100,1),0)</f>
        <v>51.9</v>
      </c>
      <c r="J22" t="s">
        <v>22</v>
      </c>
    </row>
    <row r="23" spans="1:12" ht="18.75">
      <c r="A23" s="15"/>
      <c r="B23" s="29" t="s">
        <v>30</v>
      </c>
      <c r="C23" s="15" t="s">
        <v>28</v>
      </c>
      <c r="D23" s="34">
        <v>0</v>
      </c>
      <c r="E23" s="34">
        <v>0</v>
      </c>
      <c r="F23" s="34"/>
      <c r="G23" s="34">
        <f t="shared" si="1"/>
        <v>0</v>
      </c>
      <c r="H23" s="18">
        <v>0</v>
      </c>
      <c r="I23" s="18">
        <f t="shared" ref="I23:I24" si="2">IF(H23&gt;0,ROUND(E23/H23*100,1),0)</f>
        <v>0</v>
      </c>
      <c r="J23" t="s">
        <v>22</v>
      </c>
    </row>
    <row r="24" spans="1:12" ht="18.75">
      <c r="A24" s="15"/>
      <c r="B24" s="29" t="s">
        <v>31</v>
      </c>
      <c r="C24" s="15" t="s">
        <v>28</v>
      </c>
      <c r="D24" s="34">
        <v>0</v>
      </c>
      <c r="E24" s="34"/>
      <c r="F24" s="34"/>
      <c r="G24" s="34">
        <f t="shared" si="1"/>
        <v>0</v>
      </c>
      <c r="H24" s="18"/>
      <c r="I24" s="18">
        <f t="shared" si="2"/>
        <v>0</v>
      </c>
      <c r="J24" t="s">
        <v>22</v>
      </c>
    </row>
    <row r="25" spans="1:12" ht="15.75">
      <c r="A25" s="15" t="s">
        <v>32</v>
      </c>
      <c r="B25" s="52" t="s">
        <v>33</v>
      </c>
      <c r="C25" s="197" t="s">
        <v>34</v>
      </c>
      <c r="D25" s="5">
        <v>1050</v>
      </c>
      <c r="E25" s="5">
        <v>1424</v>
      </c>
      <c r="F25" s="5">
        <f t="shared" ref="F25:F29" si="3">ROUND(E25/D25*100,1)</f>
        <v>135.6</v>
      </c>
      <c r="G25" s="6">
        <f t="shared" si="1"/>
        <v>374</v>
      </c>
      <c r="H25" s="6">
        <v>1408</v>
      </c>
      <c r="I25" s="6">
        <f>IF(H25&gt;0,ROUND(E25/H25*100,1),0)</f>
        <v>101.1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18">
        <v>887347.33299999998</v>
      </c>
      <c r="E26" s="18">
        <v>939461.37399999995</v>
      </c>
      <c r="F26" s="18">
        <f t="shared" si="3"/>
        <v>105.9</v>
      </c>
      <c r="G26" s="18">
        <f t="shared" si="1"/>
        <v>52114.040999999968</v>
      </c>
      <c r="H26" s="18">
        <v>874839.19099999999</v>
      </c>
      <c r="I26" s="18">
        <f>IF(H26&gt;0,ROUND(E26/H26*100,1),0)</f>
        <v>107.4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241</v>
      </c>
      <c r="C27" s="17" t="s">
        <v>37</v>
      </c>
      <c r="D27" s="34">
        <v>232.4</v>
      </c>
      <c r="E27" s="34">
        <v>14.151</v>
      </c>
      <c r="F27" s="18">
        <f>ROUND(E27/D27*100,1)</f>
        <v>6.1</v>
      </c>
      <c r="G27" s="18">
        <f t="shared" si="1"/>
        <v>-218.249</v>
      </c>
      <c r="H27" s="18">
        <v>149.43600000000001</v>
      </c>
      <c r="I27" s="18">
        <f>IF(H27&gt;0,ROUND(E27/H27*100,1),0)</f>
        <v>9.5</v>
      </c>
      <c r="J27" t="s">
        <v>22</v>
      </c>
      <c r="K27"/>
    </row>
    <row r="28" spans="1:12" ht="31.5">
      <c r="A28" s="15" t="s">
        <v>39</v>
      </c>
      <c r="B28" s="75" t="s">
        <v>242</v>
      </c>
      <c r="C28" s="17" t="s">
        <v>37</v>
      </c>
      <c r="D28" s="18">
        <v>194922</v>
      </c>
      <c r="E28" s="18">
        <v>200999.5</v>
      </c>
      <c r="F28" s="198">
        <f t="shared" si="3"/>
        <v>103.1</v>
      </c>
      <c r="G28" s="18">
        <f t="shared" si="1"/>
        <v>6077.5</v>
      </c>
      <c r="H28" s="18">
        <v>183154.59099999999</v>
      </c>
      <c r="I28" s="18">
        <f>IF(H28&gt;0,ROUND(E28/H28*100,1),0)</f>
        <v>109.7</v>
      </c>
      <c r="J28" t="s">
        <v>22</v>
      </c>
    </row>
    <row r="29" spans="1:12" ht="19.5" customHeight="1">
      <c r="A29" s="17" t="s">
        <v>41</v>
      </c>
      <c r="B29" s="20" t="s">
        <v>42</v>
      </c>
      <c r="C29" s="17" t="s">
        <v>37</v>
      </c>
      <c r="D29" s="34">
        <v>6600</v>
      </c>
      <c r="E29" s="34">
        <v>6879.451</v>
      </c>
      <c r="F29" s="18">
        <f t="shared" si="3"/>
        <v>104.2</v>
      </c>
      <c r="G29" s="18">
        <f t="shared" si="1"/>
        <v>279.45100000000002</v>
      </c>
      <c r="H29" s="18">
        <v>6600</v>
      </c>
      <c r="I29" s="18">
        <f>IF(H29&gt;0,ROUND(E29/H29*100,1),0)</f>
        <v>104.2</v>
      </c>
      <c r="J29" t="s">
        <v>22</v>
      </c>
    </row>
    <row r="30" spans="1:12" ht="21.75" customHeight="1">
      <c r="A30" s="295" t="s">
        <v>43</v>
      </c>
      <c r="B30" s="296"/>
      <c r="C30" s="296"/>
      <c r="D30" s="296"/>
      <c r="E30" s="296"/>
      <c r="F30" s="296"/>
      <c r="G30" s="296"/>
      <c r="H30" s="296"/>
      <c r="I30" s="296"/>
    </row>
    <row r="31" spans="1:12" ht="24" hidden="1" customHeight="1" outlineLevel="1">
      <c r="A31" s="17" t="s">
        <v>44</v>
      </c>
      <c r="B31" s="93" t="s">
        <v>209</v>
      </c>
      <c r="C31" s="17" t="s">
        <v>37</v>
      </c>
      <c r="D31" s="23"/>
      <c r="E31" s="18"/>
      <c r="F31" s="23"/>
      <c r="G31" s="18">
        <f t="shared" si="1"/>
        <v>0</v>
      </c>
      <c r="H31" s="18">
        <f>0.495*1000</f>
        <v>495</v>
      </c>
      <c r="I31" s="18">
        <f>IF(H31&gt;0,ROUND(E31/H31*100,1),0)</f>
        <v>0</v>
      </c>
      <c r="J31" s="24" t="s">
        <v>46</v>
      </c>
    </row>
    <row r="32" spans="1:12" ht="15.75" hidden="1" outlineLevel="1">
      <c r="A32" s="15" t="s">
        <v>47</v>
      </c>
      <c r="B32" s="16" t="s">
        <v>48</v>
      </c>
      <c r="C32" s="17" t="s">
        <v>37</v>
      </c>
      <c r="D32" s="23"/>
      <c r="E32" s="23"/>
      <c r="F32" s="23"/>
      <c r="G32" s="25"/>
      <c r="H32" s="18"/>
      <c r="I32" s="18">
        <f>IF(H32&gt;0,ROUND(E32/H32*100,1),0)</f>
        <v>0</v>
      </c>
    </row>
    <row r="33" spans="1:11" ht="15.75" collapsed="1">
      <c r="A33" s="15" t="s">
        <v>49</v>
      </c>
      <c r="B33" s="52" t="s">
        <v>50</v>
      </c>
      <c r="C33" s="17" t="s">
        <v>37</v>
      </c>
      <c r="D33" s="26">
        <f>D35+D39+D40+D41+D42+D43+D45+D44</f>
        <v>162590.66799999998</v>
      </c>
      <c r="E33" s="26">
        <f>E35+E39+E40+E41+E42+E43+E45+E44</f>
        <v>191961.02100000004</v>
      </c>
      <c r="F33" s="26">
        <f>ROUND(E33/D33*100,1)</f>
        <v>118.1</v>
      </c>
      <c r="G33" s="26">
        <f t="shared" ref="G33:G44" si="4">E33-D33</f>
        <v>29370.353000000061</v>
      </c>
      <c r="H33" s="26">
        <f>H38+H39</f>
        <v>157924.86599999998</v>
      </c>
      <c r="I33" s="26">
        <f>IF(H33&gt;0,ROUND(E33/H33*100,1),0)</f>
        <v>121.6</v>
      </c>
      <c r="J33" t="s">
        <v>51</v>
      </c>
    </row>
    <row r="34" spans="1:11" ht="15.75">
      <c r="A34" s="15"/>
      <c r="B34" s="16" t="s">
        <v>52</v>
      </c>
      <c r="C34" s="17" t="s">
        <v>37</v>
      </c>
      <c r="D34" s="27">
        <f>'[11]2020 г. для давлат (2'!D34</f>
        <v>0</v>
      </c>
      <c r="E34" s="27">
        <f>'[11]2020 г. для давлат (2'!E34</f>
        <v>0</v>
      </c>
      <c r="F34" s="27"/>
      <c r="G34" s="27">
        <f t="shared" si="4"/>
        <v>0</v>
      </c>
      <c r="H34" s="28">
        <v>0</v>
      </c>
      <c r="I34" s="28"/>
    </row>
    <row r="35" spans="1:11" ht="15.75">
      <c r="A35" s="15"/>
      <c r="B35" s="29" t="s">
        <v>53</v>
      </c>
      <c r="C35" s="17" t="s">
        <v>37</v>
      </c>
      <c r="D35" s="27">
        <f>D37+D38</f>
        <v>23922.349999999977</v>
      </c>
      <c r="E35" s="28">
        <f>E37+E38</f>
        <v>55468.876000000047</v>
      </c>
      <c r="F35" s="28">
        <f>ROUND(E35/D35*100,1)</f>
        <v>231.9</v>
      </c>
      <c r="G35" s="27">
        <f t="shared" si="4"/>
        <v>31546.526000000071</v>
      </c>
      <c r="H35" s="18">
        <v>20559.599999999999</v>
      </c>
      <c r="I35" s="28">
        <f>IF(H35&gt;0,ROUND(E35/H35*100,1),0)</f>
        <v>269.8</v>
      </c>
      <c r="J35" t="s">
        <v>51</v>
      </c>
    </row>
    <row r="36" spans="1:11" ht="15.75">
      <c r="A36" s="15"/>
      <c r="B36" s="29" t="s">
        <v>54</v>
      </c>
      <c r="C36" s="17" t="s">
        <v>37</v>
      </c>
      <c r="D36" s="27">
        <f>'[11]2020 г. для давлат (2'!D36</f>
        <v>0</v>
      </c>
      <c r="E36" s="27">
        <f>'[11]2020 г. для давлат (2'!E36</f>
        <v>0</v>
      </c>
      <c r="F36" s="28"/>
      <c r="G36" s="27"/>
      <c r="H36" s="18">
        <v>0</v>
      </c>
      <c r="I36" s="28"/>
    </row>
    <row r="37" spans="1:11" ht="15.75">
      <c r="A37" s="15"/>
      <c r="B37" s="30" t="s">
        <v>55</v>
      </c>
      <c r="C37" s="17" t="s">
        <v>37</v>
      </c>
      <c r="D37" s="27">
        <f>D97-D38</f>
        <v>12049.649999999976</v>
      </c>
      <c r="E37" s="27">
        <f>E97</f>
        <v>55468.876000000047</v>
      </c>
      <c r="F37" s="28"/>
      <c r="G37" s="27"/>
      <c r="H37" s="18">
        <v>0</v>
      </c>
      <c r="I37" s="28"/>
    </row>
    <row r="38" spans="1:11" ht="15.75">
      <c r="A38" s="15"/>
      <c r="B38" s="30" t="s">
        <v>56</v>
      </c>
      <c r="C38" s="17" t="s">
        <v>37</v>
      </c>
      <c r="D38" s="199">
        <v>11872.7</v>
      </c>
      <c r="E38" s="28">
        <v>0</v>
      </c>
      <c r="F38" s="28">
        <f>ROUND(E38/D38*100,1)</f>
        <v>0</v>
      </c>
      <c r="G38" s="27">
        <f t="shared" si="4"/>
        <v>-11872.7</v>
      </c>
      <c r="H38" s="18">
        <v>20559.563999999998</v>
      </c>
      <c r="I38" s="28">
        <f>IF(H38&gt;0,ROUND(E38/H38*100,1),0)</f>
        <v>0</v>
      </c>
    </row>
    <row r="39" spans="1:11" ht="15.75">
      <c r="A39" s="15"/>
      <c r="B39" s="29" t="s">
        <v>57</v>
      </c>
      <c r="C39" s="17" t="s">
        <v>37</v>
      </c>
      <c r="D39" s="27">
        <f>D131</f>
        <v>138668.318</v>
      </c>
      <c r="E39" s="28">
        <f>E131</f>
        <v>136492.14499999999</v>
      </c>
      <c r="F39" s="28">
        <f>ROUND(E39/D39*100,1)</f>
        <v>98.4</v>
      </c>
      <c r="G39" s="27">
        <f t="shared" si="4"/>
        <v>-2176.1730000000098</v>
      </c>
      <c r="H39" s="18">
        <v>137365.302</v>
      </c>
      <c r="I39" s="28">
        <f>IF(H39&gt;0,ROUND(E39/H39*100,1),0)</f>
        <v>99.4</v>
      </c>
      <c r="J39" t="s">
        <v>58</v>
      </c>
      <c r="K39" s="95">
        <v>34799.205999999998</v>
      </c>
    </row>
    <row r="40" spans="1:11" ht="15.75">
      <c r="A40" s="15"/>
      <c r="B40" s="50" t="s">
        <v>59</v>
      </c>
      <c r="C40" s="17" t="s">
        <v>37</v>
      </c>
      <c r="D40" s="28">
        <f>'[11]2020 г. для давлат (2'!D40</f>
        <v>0</v>
      </c>
      <c r="E40" s="28">
        <f>'[11]2020 г. для давлат (2'!E40</f>
        <v>0</v>
      </c>
      <c r="F40" s="27"/>
      <c r="G40" s="27">
        <f t="shared" si="4"/>
        <v>0</v>
      </c>
      <c r="H40" s="28">
        <v>0</v>
      </c>
      <c r="I40" s="28"/>
    </row>
    <row r="41" spans="1:11" ht="33.75" customHeight="1">
      <c r="A41" s="51"/>
      <c r="B41" s="50" t="s">
        <v>60</v>
      </c>
      <c r="C41" s="17" t="s">
        <v>37</v>
      </c>
      <c r="D41" s="27">
        <f>'[11]2020 г. для давлат (2'!D41</f>
        <v>0</v>
      </c>
      <c r="E41" s="28">
        <f>'[11]2020 г. для давлат (2'!E41</f>
        <v>0</v>
      </c>
      <c r="F41" s="27"/>
      <c r="G41" s="27">
        <f t="shared" si="4"/>
        <v>0</v>
      </c>
      <c r="H41" s="28">
        <v>0</v>
      </c>
      <c r="I41" s="28">
        <f>IF(H41&gt;0,ROUND(E41/H41*100,1),0)</f>
        <v>0</v>
      </c>
      <c r="J41" t="s">
        <v>51</v>
      </c>
    </row>
    <row r="42" spans="1:11" ht="15.75">
      <c r="A42" s="15"/>
      <c r="B42" s="29" t="s">
        <v>61</v>
      </c>
      <c r="C42" s="17" t="s">
        <v>37</v>
      </c>
      <c r="D42" s="18">
        <f>'[11]2020 г. для давлат (2'!D42</f>
        <v>0</v>
      </c>
      <c r="E42" s="18">
        <f>'[11]2020 г. для давлат (2'!E42</f>
        <v>0</v>
      </c>
      <c r="F42" s="23"/>
      <c r="G42" s="27">
        <f t="shared" si="4"/>
        <v>0</v>
      </c>
      <c r="H42" s="18">
        <v>0</v>
      </c>
      <c r="I42" s="18"/>
    </row>
    <row r="43" spans="1:11" ht="15.75">
      <c r="A43" s="15"/>
      <c r="B43" s="50" t="s">
        <v>62</v>
      </c>
      <c r="C43" s="17" t="s">
        <v>37</v>
      </c>
      <c r="D43" s="18">
        <f>'[11]2020 г. для давлат (2'!D43</f>
        <v>0</v>
      </c>
      <c r="E43" s="18">
        <f>'[11]2020 г. для давлат (2'!E43</f>
        <v>0</v>
      </c>
      <c r="F43" s="18"/>
      <c r="G43" s="27">
        <f t="shared" si="4"/>
        <v>0</v>
      </c>
      <c r="H43" s="18">
        <v>0</v>
      </c>
      <c r="I43" s="18"/>
    </row>
    <row r="44" spans="1:11" ht="15.75">
      <c r="A44" s="15"/>
      <c r="B44" s="50" t="s">
        <v>63</v>
      </c>
      <c r="C44" s="17" t="s">
        <v>37</v>
      </c>
      <c r="D44" s="18">
        <f>'[11]2020 г. для давлат (2'!D44</f>
        <v>0</v>
      </c>
      <c r="E44" s="54">
        <f>'[11]2020 г. для давлат (2'!E44</f>
        <v>0</v>
      </c>
      <c r="F44" s="18"/>
      <c r="G44" s="27">
        <f t="shared" si="4"/>
        <v>0</v>
      </c>
      <c r="H44" s="18">
        <v>0</v>
      </c>
      <c r="I44" s="18"/>
    </row>
    <row r="45" spans="1:11" ht="15.75" customHeight="1">
      <c r="A45" s="15"/>
      <c r="B45" s="29" t="s">
        <v>64</v>
      </c>
      <c r="C45" s="17" t="s">
        <v>37</v>
      </c>
      <c r="D45" s="18">
        <f>'[11]2020 г. для давлат (2'!D45</f>
        <v>0</v>
      </c>
      <c r="E45" s="18">
        <f>'[11]2020 г. для давлат (2'!E45</f>
        <v>0</v>
      </c>
      <c r="F45" s="18"/>
      <c r="G45" s="18"/>
      <c r="H45" s="18">
        <v>0</v>
      </c>
      <c r="I45" s="18"/>
    </row>
    <row r="46" spans="1:11" ht="47.25" hidden="1" outlineLevel="1">
      <c r="A46" s="15"/>
      <c r="B46" s="16" t="s">
        <v>65</v>
      </c>
      <c r="C46" s="17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1" ht="15.75" collapsed="1">
      <c r="A47" s="293" t="s">
        <v>66</v>
      </c>
      <c r="B47" s="293"/>
      <c r="C47" s="293"/>
      <c r="D47" s="293"/>
      <c r="E47" s="293"/>
      <c r="F47" s="293"/>
      <c r="G47" s="293"/>
      <c r="H47" s="293"/>
      <c r="I47" s="293"/>
    </row>
    <row r="48" spans="1:11" ht="15.75">
      <c r="A48" s="15" t="s">
        <v>67</v>
      </c>
      <c r="B48" s="52" t="s">
        <v>68</v>
      </c>
      <c r="C48" s="15"/>
      <c r="D48" s="34">
        <f>'[11]2020 г. для давлат (2'!D48</f>
        <v>0</v>
      </c>
      <c r="E48" s="34">
        <f>'[11]2020 г. для давлат (2'!E48</f>
        <v>0</v>
      </c>
      <c r="F48" s="34"/>
      <c r="G48" s="34"/>
      <c r="H48" s="34"/>
      <c r="I48" s="34"/>
    </row>
    <row r="49" spans="1:10" ht="15.75" hidden="1" outlineLevel="1">
      <c r="A49" s="15"/>
      <c r="B49" s="16" t="s">
        <v>69</v>
      </c>
      <c r="C49" s="17" t="s">
        <v>70</v>
      </c>
      <c r="D49" s="53" t="e">
        <f>'[11]2020 г. для давлат (2'!D49</f>
        <v>#VALUE!</v>
      </c>
      <c r="E49" s="53" t="e">
        <f>'[11]2020 г. для давлат (2'!E49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0" ht="15.75" hidden="1" outlineLevel="1">
      <c r="A50" s="15"/>
      <c r="B50" s="15" t="s">
        <v>12</v>
      </c>
      <c r="C50" s="17"/>
      <c r="D50" s="53">
        <f>'[11]2020 г. для давлат (2'!D50</f>
        <v>0</v>
      </c>
      <c r="E50" s="53">
        <f>'[11]2020 г. для давлат (2'!E50</f>
        <v>0</v>
      </c>
      <c r="F50" s="53"/>
      <c r="G50" s="53"/>
      <c r="H50" s="53"/>
      <c r="I50" s="53"/>
    </row>
    <row r="51" spans="1:10" ht="15.75" collapsed="1">
      <c r="A51" s="15"/>
      <c r="B51" s="29" t="s">
        <v>71</v>
      </c>
      <c r="C51" s="17" t="s">
        <v>72</v>
      </c>
      <c r="D51" s="18" t="str">
        <f>'[11]2020 г. для давлат (2'!D51</f>
        <v xml:space="preserve"> - </v>
      </c>
      <c r="E51" s="18" t="str">
        <f>'[11]2020 г. для давлат (2'!E51</f>
        <v xml:space="preserve"> - </v>
      </c>
      <c r="F51" s="18" t="s">
        <v>73</v>
      </c>
      <c r="G51" s="18" t="s">
        <v>73</v>
      </c>
      <c r="H51" s="54" t="s">
        <v>73</v>
      </c>
      <c r="I51" s="18" t="s">
        <v>73</v>
      </c>
    </row>
    <row r="52" spans="1:10" ht="15.75" hidden="1" outlineLevel="1">
      <c r="A52" s="15"/>
      <c r="B52" s="16" t="s">
        <v>74</v>
      </c>
      <c r="C52" s="17" t="s">
        <v>70</v>
      </c>
      <c r="D52" s="53">
        <f>'[11]2020 г. для давлат (2'!D52</f>
        <v>0</v>
      </c>
      <c r="E52" s="53">
        <f>'[11]2020 г. для давлат (2'!E52</f>
        <v>0</v>
      </c>
      <c r="F52" s="23"/>
      <c r="G52" s="23"/>
      <c r="H52" s="53"/>
      <c r="I52" s="23">
        <f>IF(H52&gt;0,ROUND(E52/H52*100,1),0)</f>
        <v>0</v>
      </c>
    </row>
    <row r="53" spans="1:10" ht="15.75" hidden="1" outlineLevel="1">
      <c r="A53" s="15"/>
      <c r="B53" s="16" t="s">
        <v>75</v>
      </c>
      <c r="C53" s="17" t="s">
        <v>70</v>
      </c>
      <c r="D53" s="23">
        <f>'[11]2020 г. для давлат (2'!D53</f>
        <v>0</v>
      </c>
      <c r="E53" s="23">
        <f>'[11]2020 г. для давлат (2'!E53</f>
        <v>0</v>
      </c>
      <c r="F53" s="23"/>
      <c r="G53" s="23"/>
      <c r="H53" s="23"/>
      <c r="I53" s="23">
        <f>IF(H53&gt;0,ROUND(E53/H53*100,1),0)</f>
        <v>0</v>
      </c>
    </row>
    <row r="54" spans="1:10" ht="15.75" collapsed="1">
      <c r="A54" s="15" t="s">
        <v>76</v>
      </c>
      <c r="B54" s="52" t="s">
        <v>77</v>
      </c>
      <c r="C54" s="17"/>
      <c r="D54" s="53">
        <f>'[11]2020 г. для давлат (2'!D54</f>
        <v>0</v>
      </c>
      <c r="E54" s="53">
        <f>'[11]2020 г. для давлат (2'!E54</f>
        <v>0</v>
      </c>
      <c r="F54" s="53"/>
      <c r="G54" s="53"/>
      <c r="H54" s="53"/>
      <c r="I54" s="53"/>
    </row>
    <row r="55" spans="1:10" ht="15.75">
      <c r="A55" s="15"/>
      <c r="B55" s="29" t="s">
        <v>78</v>
      </c>
      <c r="C55" s="17" t="s">
        <v>79</v>
      </c>
      <c r="D55" s="18" t="str">
        <f>'[11]2020 г. для давлат (2'!D55</f>
        <v xml:space="preserve"> - </v>
      </c>
      <c r="E55" s="18" t="str">
        <f>'[11]2020 г. для давлат (2'!E55</f>
        <v xml:space="preserve"> - 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0" ht="15.75" hidden="1" outlineLevel="1">
      <c r="A56" s="15"/>
      <c r="B56" s="16" t="s">
        <v>80</v>
      </c>
      <c r="C56" s="17" t="s">
        <v>81</v>
      </c>
      <c r="D56" s="55"/>
      <c r="E56" s="53"/>
      <c r="F56" s="53"/>
      <c r="G56" s="53"/>
      <c r="H56" s="53"/>
      <c r="I56" s="53"/>
    </row>
    <row r="57" spans="1:10" ht="24.75" hidden="1" customHeight="1" outlineLevel="1">
      <c r="A57" s="15"/>
      <c r="B57" s="16" t="s">
        <v>82</v>
      </c>
      <c r="C57" s="17" t="s">
        <v>81</v>
      </c>
      <c r="D57" s="56">
        <v>0</v>
      </c>
      <c r="E57" s="56"/>
      <c r="F57" s="56"/>
      <c r="G57" s="56"/>
      <c r="H57" s="56"/>
      <c r="I57" s="56"/>
    </row>
    <row r="58" spans="1:10" ht="15.75" collapsed="1">
      <c r="A58" s="294" t="s">
        <v>83</v>
      </c>
      <c r="B58" s="294"/>
      <c r="C58" s="294"/>
      <c r="D58" s="294"/>
      <c r="E58" s="294"/>
      <c r="F58" s="294"/>
      <c r="G58" s="294"/>
      <c r="H58" s="294"/>
      <c r="I58" s="294"/>
    </row>
    <row r="59" spans="1:10" ht="15.75">
      <c r="A59" s="15" t="s">
        <v>84</v>
      </c>
      <c r="B59" s="16" t="s">
        <v>85</v>
      </c>
      <c r="C59" s="17" t="s">
        <v>86</v>
      </c>
      <c r="D59" s="57">
        <v>6015</v>
      </c>
      <c r="E59" s="57">
        <v>5682</v>
      </c>
      <c r="F59" s="28">
        <f>ROUND(E59/D59*100,1)</f>
        <v>94.5</v>
      </c>
      <c r="G59" s="28">
        <f>E59-D59</f>
        <v>-333</v>
      </c>
      <c r="H59" s="18">
        <v>5794</v>
      </c>
      <c r="I59" s="28">
        <f t="shared" ref="I59:I64" si="5">IF(H59&gt;0,ROUND(E59/H59*100,1),0)</f>
        <v>98.1</v>
      </c>
      <c r="J59" t="s">
        <v>87</v>
      </c>
    </row>
    <row r="60" spans="1:10" ht="31.5" hidden="1" outlineLevel="1">
      <c r="A60" s="15" t="s">
        <v>88</v>
      </c>
      <c r="B60" s="16" t="s">
        <v>89</v>
      </c>
      <c r="C60" s="17" t="s">
        <v>90</v>
      </c>
      <c r="D60" s="28"/>
      <c r="E60" s="28"/>
      <c r="F60" s="28" t="e">
        <f>ROUND(E60/D60*100,1)</f>
        <v>#DIV/0!</v>
      </c>
      <c r="G60" s="28"/>
      <c r="H60" s="18"/>
      <c r="I60" s="28">
        <f t="shared" si="5"/>
        <v>0</v>
      </c>
    </row>
    <row r="61" spans="1:10" ht="15.75" collapsed="1">
      <c r="A61" s="15" t="s">
        <v>91</v>
      </c>
      <c r="B61" s="16" t="s">
        <v>92</v>
      </c>
      <c r="C61" s="17" t="s">
        <v>37</v>
      </c>
      <c r="D61" s="33">
        <v>280486.40000000002</v>
      </c>
      <c r="E61" s="33">
        <v>287577</v>
      </c>
      <c r="F61" s="28">
        <f>ROUND(E61/D61*100,1)</f>
        <v>102.5</v>
      </c>
      <c r="G61" s="28">
        <f>E61-D61</f>
        <v>7090.5999999999767</v>
      </c>
      <c r="H61" s="18">
        <v>264136.5</v>
      </c>
      <c r="I61" s="28">
        <f t="shared" si="5"/>
        <v>108.9</v>
      </c>
      <c r="J61" t="s">
        <v>87</v>
      </c>
    </row>
    <row r="62" spans="1:10" ht="15.75">
      <c r="A62" s="15" t="s">
        <v>93</v>
      </c>
      <c r="B62" s="16" t="s">
        <v>94</v>
      </c>
      <c r="C62" s="17" t="s">
        <v>95</v>
      </c>
      <c r="D62" s="28">
        <v>3885.9</v>
      </c>
      <c r="E62" s="28">
        <v>4183.5</v>
      </c>
      <c r="F62" s="28">
        <f>ROUND(E62/D62*100,1)</f>
        <v>107.7</v>
      </c>
      <c r="G62" s="28">
        <f>E62-D62</f>
        <v>297.59999999999991</v>
      </c>
      <c r="H62" s="18">
        <v>3789.1</v>
      </c>
      <c r="I62" s="28">
        <f t="shared" si="5"/>
        <v>110.4</v>
      </c>
      <c r="J62" t="s">
        <v>87</v>
      </c>
    </row>
    <row r="63" spans="1:10" ht="15.75">
      <c r="A63" s="15" t="s">
        <v>96</v>
      </c>
      <c r="B63" s="16" t="s">
        <v>97</v>
      </c>
      <c r="C63" s="17" t="s">
        <v>37</v>
      </c>
      <c r="D63" s="18"/>
      <c r="E63" s="18">
        <v>981699</v>
      </c>
      <c r="F63" s="28"/>
      <c r="G63" s="28">
        <f>E63-D63</f>
        <v>981699</v>
      </c>
      <c r="H63" s="18">
        <v>1084705</v>
      </c>
      <c r="I63" s="18">
        <f t="shared" si="5"/>
        <v>90.5</v>
      </c>
      <c r="J63" t="s">
        <v>58</v>
      </c>
    </row>
    <row r="64" spans="1:10" ht="15.75" hidden="1" outlineLevel="1">
      <c r="A64" s="15" t="s">
        <v>98</v>
      </c>
      <c r="B64" s="16" t="s">
        <v>99</v>
      </c>
      <c r="C64" s="17" t="s">
        <v>37</v>
      </c>
      <c r="D64" s="58"/>
      <c r="E64" s="58"/>
      <c r="F64" s="59"/>
      <c r="G64" s="58"/>
      <c r="H64" s="18">
        <v>0</v>
      </c>
      <c r="I64" s="59">
        <f t="shared" si="5"/>
        <v>0</v>
      </c>
      <c r="J64" s="31"/>
    </row>
    <row r="65" spans="1:13" ht="15.75" collapsed="1">
      <c r="A65" s="15" t="s">
        <v>100</v>
      </c>
      <c r="B65" s="52" t="s">
        <v>101</v>
      </c>
      <c r="C65" s="197" t="s">
        <v>102</v>
      </c>
      <c r="D65" s="26">
        <v>156902.48000000001</v>
      </c>
      <c r="E65" s="26">
        <v>131572.17000000001</v>
      </c>
      <c r="F65" s="26">
        <f>ROUND(E65/D65*100,1)</f>
        <v>83.9</v>
      </c>
      <c r="G65" s="26">
        <f>E65-D65</f>
        <v>-25330.309999999998</v>
      </c>
      <c r="H65" s="6">
        <v>147287</v>
      </c>
      <c r="I65" s="26">
        <f>ROUND(E65/H65*100,1)</f>
        <v>89.3</v>
      </c>
      <c r="J65" t="s">
        <v>103</v>
      </c>
    </row>
    <row r="66" spans="1:13" ht="15.75" hidden="1" outlineLevel="1">
      <c r="A66" s="15"/>
      <c r="B66" s="15" t="s">
        <v>12</v>
      </c>
      <c r="C66" s="17"/>
      <c r="D66" s="53"/>
      <c r="E66" s="53"/>
      <c r="F66" s="53"/>
      <c r="G66" s="53"/>
      <c r="H66" s="53"/>
      <c r="I66" s="53"/>
    </row>
    <row r="67" spans="1:13" ht="15.75" hidden="1" outlineLevel="1">
      <c r="A67" s="15"/>
      <c r="B67" s="16" t="s">
        <v>104</v>
      </c>
      <c r="C67" s="17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15"/>
      <c r="B68" s="16" t="s">
        <v>105</v>
      </c>
      <c r="C68" s="17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94" t="s">
        <v>106</v>
      </c>
      <c r="B69" s="294"/>
      <c r="C69" s="294"/>
      <c r="D69" s="294"/>
      <c r="E69" s="294"/>
      <c r="F69" s="294"/>
      <c r="G69" s="294"/>
      <c r="H69" s="294"/>
      <c r="I69" s="294"/>
    </row>
    <row r="70" spans="1:13" ht="15.75">
      <c r="A70" s="15" t="s">
        <v>107</v>
      </c>
      <c r="B70" s="16" t="s">
        <v>108</v>
      </c>
      <c r="C70" s="17" t="s">
        <v>37</v>
      </c>
      <c r="D70" s="28">
        <v>1052756.0649999999</v>
      </c>
      <c r="E70" s="28">
        <v>1244877</v>
      </c>
      <c r="F70" s="18">
        <f t="shared" ref="F70:F89" si="6">ROUND(E70/D70*100,1)</f>
        <v>118.2</v>
      </c>
      <c r="G70" s="18">
        <f t="shared" ref="G70:G97" si="7">E70-D70</f>
        <v>192120.93500000006</v>
      </c>
      <c r="H70" s="18">
        <v>1181457.3559999999</v>
      </c>
      <c r="I70" s="18">
        <f t="shared" ref="I70:I86" si="8">ROUND(E70/H70*100,1)</f>
        <v>105.4</v>
      </c>
      <c r="J70" t="s">
        <v>103</v>
      </c>
      <c r="M70">
        <f>1759313-152984-76292-1017231</f>
        <v>512806</v>
      </c>
    </row>
    <row r="71" spans="1:13" ht="15.75">
      <c r="A71" s="15" t="s">
        <v>109</v>
      </c>
      <c r="B71" s="16" t="s">
        <v>110</v>
      </c>
      <c r="C71" s="17" t="s">
        <v>37</v>
      </c>
      <c r="D71" s="28">
        <v>780780.22699999996</v>
      </c>
      <c r="E71" s="18">
        <v>735937</v>
      </c>
      <c r="F71" s="18">
        <f t="shared" si="6"/>
        <v>94.3</v>
      </c>
      <c r="G71" s="18">
        <f t="shared" si="7"/>
        <v>-44843.226999999955</v>
      </c>
      <c r="H71" s="18">
        <v>773089.28500000003</v>
      </c>
      <c r="I71" s="18">
        <f t="shared" si="8"/>
        <v>95.2</v>
      </c>
      <c r="J71" t="s">
        <v>103</v>
      </c>
    </row>
    <row r="72" spans="1:13" ht="15.75">
      <c r="A72" s="15" t="s">
        <v>111</v>
      </c>
      <c r="B72" s="16" t="s">
        <v>112</v>
      </c>
      <c r="C72" s="17" t="s">
        <v>37</v>
      </c>
      <c r="D72" s="33">
        <f>D70-D71</f>
        <v>271975.83799999999</v>
      </c>
      <c r="E72" s="33">
        <f>E70-E71</f>
        <v>508940</v>
      </c>
      <c r="F72" s="34">
        <f t="shared" si="6"/>
        <v>187.1</v>
      </c>
      <c r="G72" s="18">
        <f t="shared" si="7"/>
        <v>236964.16200000001</v>
      </c>
      <c r="H72" s="18">
        <v>408368.07099999988</v>
      </c>
      <c r="I72" s="34">
        <f t="shared" si="8"/>
        <v>124.6</v>
      </c>
      <c r="J72" t="s">
        <v>103</v>
      </c>
      <c r="M72" s="11">
        <f>D72-D73</f>
        <v>115126.24099999998</v>
      </c>
    </row>
    <row r="73" spans="1:13" ht="15.75">
      <c r="A73" s="15"/>
      <c r="B73" s="52" t="s">
        <v>113</v>
      </c>
      <c r="C73" s="197" t="s">
        <v>37</v>
      </c>
      <c r="D73" s="26">
        <f>D74+D75+D76</f>
        <v>156849.59700000001</v>
      </c>
      <c r="E73" s="6">
        <f>E74+E75+E76</f>
        <v>293618.34699999995</v>
      </c>
      <c r="F73" s="6">
        <f t="shared" si="6"/>
        <v>187.2</v>
      </c>
      <c r="G73" s="6">
        <f t="shared" si="7"/>
        <v>136768.74999999994</v>
      </c>
      <c r="H73" s="26">
        <v>198857.56200000001</v>
      </c>
      <c r="I73" s="6">
        <f t="shared" si="8"/>
        <v>147.69999999999999</v>
      </c>
      <c r="J73" t="s">
        <v>103</v>
      </c>
      <c r="M73" s="11">
        <f>M72+D77</f>
        <v>115126.24099999998</v>
      </c>
    </row>
    <row r="74" spans="1:13" ht="15.75">
      <c r="A74" s="15"/>
      <c r="B74" s="61" t="s">
        <v>114</v>
      </c>
      <c r="C74" s="17" t="s">
        <v>37</v>
      </c>
      <c r="D74" s="28">
        <v>6203.4620000000004</v>
      </c>
      <c r="E74" s="18">
        <v>11346.853999999999</v>
      </c>
      <c r="F74" s="34">
        <f t="shared" si="6"/>
        <v>182.9</v>
      </c>
      <c r="G74" s="18">
        <f t="shared" si="7"/>
        <v>5143.3919999999989</v>
      </c>
      <c r="H74" s="18">
        <v>7466.7849999999999</v>
      </c>
      <c r="I74" s="34">
        <f t="shared" si="8"/>
        <v>152</v>
      </c>
      <c r="J74" t="s">
        <v>103</v>
      </c>
    </row>
    <row r="75" spans="1:13" ht="15.75">
      <c r="A75" s="15"/>
      <c r="B75" s="61" t="s">
        <v>115</v>
      </c>
      <c r="C75" s="17" t="s">
        <v>37</v>
      </c>
      <c r="D75" s="28">
        <v>57725.894</v>
      </c>
      <c r="E75" s="18">
        <v>57456</v>
      </c>
      <c r="F75" s="18">
        <f t="shared" si="6"/>
        <v>99.5</v>
      </c>
      <c r="G75" s="18">
        <f t="shared" si="7"/>
        <v>-269.89400000000023</v>
      </c>
      <c r="H75" s="18">
        <v>53588.623</v>
      </c>
      <c r="I75" s="18">
        <f t="shared" si="8"/>
        <v>107.2</v>
      </c>
      <c r="J75" t="s">
        <v>103</v>
      </c>
    </row>
    <row r="76" spans="1:13" ht="15.75">
      <c r="A76" s="15"/>
      <c r="B76" s="61" t="s">
        <v>116</v>
      </c>
      <c r="C76" s="17" t="s">
        <v>37</v>
      </c>
      <c r="D76" s="28">
        <v>92920.240999999995</v>
      </c>
      <c r="E76" s="18">
        <v>224815.49299999999</v>
      </c>
      <c r="F76" s="18">
        <f t="shared" si="6"/>
        <v>241.9</v>
      </c>
      <c r="G76" s="18">
        <f t="shared" si="7"/>
        <v>131895.25199999998</v>
      </c>
      <c r="H76" s="18">
        <v>137802.15400000001</v>
      </c>
      <c r="I76" s="18">
        <f t="shared" si="8"/>
        <v>163.1</v>
      </c>
      <c r="J76" t="s">
        <v>103</v>
      </c>
    </row>
    <row r="77" spans="1:13" ht="15.75">
      <c r="A77" s="15"/>
      <c r="B77" s="52" t="s">
        <v>117</v>
      </c>
      <c r="C77" s="197" t="s">
        <v>37</v>
      </c>
      <c r="D77" s="26">
        <v>0</v>
      </c>
      <c r="E77" s="6">
        <f>19644.62</f>
        <v>19644.62</v>
      </c>
      <c r="F77" s="18"/>
      <c r="G77" s="6">
        <f t="shared" si="7"/>
        <v>19644.62</v>
      </c>
      <c r="H77" s="18">
        <v>18921.664000000001</v>
      </c>
      <c r="I77" s="18">
        <f t="shared" si="8"/>
        <v>103.8</v>
      </c>
      <c r="J77" t="s">
        <v>103</v>
      </c>
    </row>
    <row r="78" spans="1:13" ht="15.75">
      <c r="A78" s="15"/>
      <c r="B78" s="16" t="s">
        <v>250</v>
      </c>
      <c r="C78" s="214"/>
      <c r="D78" s="201">
        <v>0</v>
      </c>
      <c r="E78" s="18">
        <v>52138.917999999998</v>
      </c>
      <c r="F78" s="18"/>
      <c r="G78" s="6"/>
      <c r="H78" s="18"/>
      <c r="I78" s="6"/>
    </row>
    <row r="79" spans="1:13" ht="15.75">
      <c r="A79" s="15"/>
      <c r="B79" s="16" t="s">
        <v>118</v>
      </c>
      <c r="C79" s="17" t="s">
        <v>37</v>
      </c>
      <c r="D79" s="28">
        <v>86982.3</v>
      </c>
      <c r="E79" s="18">
        <v>220917</v>
      </c>
      <c r="F79" s="18">
        <f t="shared" si="6"/>
        <v>254</v>
      </c>
      <c r="G79" s="18">
        <f t="shared" si="7"/>
        <v>133934.70000000001</v>
      </c>
      <c r="H79" s="18">
        <v>205179</v>
      </c>
      <c r="I79" s="18">
        <f t="shared" si="8"/>
        <v>107.7</v>
      </c>
      <c r="J79" t="s">
        <v>103</v>
      </c>
    </row>
    <row r="80" spans="1:13" ht="15.75" hidden="1" outlineLevel="1">
      <c r="A80" s="15"/>
      <c r="B80" s="16" t="s">
        <v>119</v>
      </c>
      <c r="C80" s="17" t="s">
        <v>37</v>
      </c>
      <c r="D80" s="33"/>
      <c r="E80" s="18">
        <f>'[11]2020 г. для давлат (2'!E79</f>
        <v>0</v>
      </c>
      <c r="F80" s="18" t="e">
        <f t="shared" si="6"/>
        <v>#DIV/0!</v>
      </c>
      <c r="G80" s="18">
        <f t="shared" si="7"/>
        <v>0</v>
      </c>
      <c r="H80" s="58">
        <v>0</v>
      </c>
      <c r="I80" s="18" t="e">
        <f t="shared" si="8"/>
        <v>#DIV/0!</v>
      </c>
    </row>
    <row r="81" spans="1:10" ht="15.75" hidden="1" outlineLevel="1">
      <c r="A81" s="15"/>
      <c r="B81" s="16" t="s">
        <v>120</v>
      </c>
      <c r="C81" s="17" t="s">
        <v>37</v>
      </c>
      <c r="D81" s="33"/>
      <c r="E81" s="18">
        <f>'[11]2020 г. для давлат (2'!E80</f>
        <v>0</v>
      </c>
      <c r="F81" s="18" t="e">
        <f t="shared" si="6"/>
        <v>#DIV/0!</v>
      </c>
      <c r="G81" s="18">
        <f t="shared" si="7"/>
        <v>0</v>
      </c>
      <c r="H81" s="58">
        <v>0</v>
      </c>
      <c r="I81" s="18" t="e">
        <f t="shared" si="8"/>
        <v>#DIV/0!</v>
      </c>
    </row>
    <row r="82" spans="1:10" ht="15.75" hidden="1" outlineLevel="1">
      <c r="A82" s="15"/>
      <c r="B82" s="16" t="s">
        <v>121</v>
      </c>
      <c r="C82" s="17" t="s">
        <v>37</v>
      </c>
      <c r="D82" s="33"/>
      <c r="E82" s="18">
        <f>'[11]2020 г. для давлат (2'!E81</f>
        <v>0</v>
      </c>
      <c r="F82" s="18" t="e">
        <f t="shared" si="6"/>
        <v>#DIV/0!</v>
      </c>
      <c r="G82" s="18">
        <f t="shared" si="7"/>
        <v>0</v>
      </c>
      <c r="H82" s="58">
        <v>0</v>
      </c>
      <c r="I82" s="18" t="e">
        <f t="shared" si="8"/>
        <v>#DIV/0!</v>
      </c>
    </row>
    <row r="83" spans="1:10" ht="15.75" hidden="1" outlineLevel="1">
      <c r="A83" s="15"/>
      <c r="B83" s="16" t="s">
        <v>122</v>
      </c>
      <c r="C83" s="17" t="s">
        <v>37</v>
      </c>
      <c r="D83" s="33"/>
      <c r="E83" s="18">
        <f>'[11]2020 г. для давлат (2'!E82</f>
        <v>0</v>
      </c>
      <c r="F83" s="18" t="e">
        <f t="shared" si="6"/>
        <v>#DIV/0!</v>
      </c>
      <c r="G83" s="18">
        <f t="shared" si="7"/>
        <v>0</v>
      </c>
      <c r="H83" s="58">
        <v>0</v>
      </c>
      <c r="I83" s="18" t="e">
        <f t="shared" si="8"/>
        <v>#DIV/0!</v>
      </c>
    </row>
    <row r="84" spans="1:10" ht="15.75" hidden="1" outlineLevel="1">
      <c r="A84" s="15"/>
      <c r="B84" s="16" t="s">
        <v>123</v>
      </c>
      <c r="C84" s="17" t="s">
        <v>37</v>
      </c>
      <c r="D84" s="33"/>
      <c r="E84" s="18"/>
      <c r="F84" s="18" t="e">
        <f t="shared" si="6"/>
        <v>#DIV/0!</v>
      </c>
      <c r="G84" s="18">
        <f t="shared" si="7"/>
        <v>0</v>
      </c>
      <c r="H84" s="58">
        <v>0</v>
      </c>
      <c r="I84" s="18" t="e">
        <f t="shared" si="8"/>
        <v>#DIV/0!</v>
      </c>
    </row>
    <row r="85" spans="1:10" ht="15.75" hidden="1" outlineLevel="1">
      <c r="A85" s="15"/>
      <c r="B85" s="16" t="s">
        <v>121</v>
      </c>
      <c r="C85" s="17" t="s">
        <v>37</v>
      </c>
      <c r="D85" s="33"/>
      <c r="E85" s="18">
        <f>'[11]2020 г. для давлат (2'!E84</f>
        <v>0</v>
      </c>
      <c r="F85" s="18" t="e">
        <f t="shared" si="6"/>
        <v>#DIV/0!</v>
      </c>
      <c r="G85" s="18">
        <f t="shared" si="7"/>
        <v>0</v>
      </c>
      <c r="H85" s="58">
        <v>0</v>
      </c>
      <c r="I85" s="18" t="e">
        <f t="shared" si="8"/>
        <v>#DIV/0!</v>
      </c>
    </row>
    <row r="86" spans="1:10" ht="15.75" hidden="1" outlineLevel="1">
      <c r="A86" s="15"/>
      <c r="B86" s="16" t="s">
        <v>122</v>
      </c>
      <c r="C86" s="17" t="s">
        <v>37</v>
      </c>
      <c r="D86" s="33"/>
      <c r="E86" s="18">
        <f>'[11]2020 г. для давлат (2'!E85</f>
        <v>0</v>
      </c>
      <c r="F86" s="18" t="e">
        <f t="shared" si="6"/>
        <v>#DIV/0!</v>
      </c>
      <c r="G86" s="18">
        <f t="shared" si="7"/>
        <v>0</v>
      </c>
      <c r="H86" s="58">
        <v>0</v>
      </c>
      <c r="I86" s="18" t="e">
        <f t="shared" si="8"/>
        <v>#DIV/0!</v>
      </c>
    </row>
    <row r="87" spans="1:10" ht="15.75" hidden="1" outlineLevel="1" collapsed="1">
      <c r="A87" s="15"/>
      <c r="B87" s="16" t="s">
        <v>124</v>
      </c>
      <c r="C87" s="17" t="s">
        <v>37</v>
      </c>
      <c r="D87" s="28"/>
      <c r="E87" s="18">
        <f>'[11]2020 г. для давлат (2'!E86</f>
        <v>0</v>
      </c>
      <c r="F87" s="18" t="e">
        <f t="shared" si="6"/>
        <v>#DIV/0!</v>
      </c>
      <c r="G87" s="18">
        <f t="shared" si="7"/>
        <v>0</v>
      </c>
      <c r="H87" s="58">
        <v>0</v>
      </c>
      <c r="I87" s="18"/>
    </row>
    <row r="88" spans="1:10" ht="15.75" hidden="1" outlineLevel="1">
      <c r="A88" s="15"/>
      <c r="B88" s="16" t="s">
        <v>121</v>
      </c>
      <c r="C88" s="17" t="s">
        <v>37</v>
      </c>
      <c r="D88" s="28"/>
      <c r="E88" s="18">
        <f>'[11]2020 г. для давлат (2'!E87</f>
        <v>0</v>
      </c>
      <c r="F88" s="18" t="e">
        <f t="shared" si="6"/>
        <v>#DIV/0!</v>
      </c>
      <c r="G88" s="18">
        <f t="shared" si="7"/>
        <v>0</v>
      </c>
      <c r="H88" s="58">
        <v>0</v>
      </c>
      <c r="I88" s="18" t="e">
        <f>ROUND(E88/H88*100,1)</f>
        <v>#DIV/0!</v>
      </c>
    </row>
    <row r="89" spans="1:10" ht="15.75" hidden="1" outlineLevel="1">
      <c r="A89" s="15"/>
      <c r="B89" s="16" t="s">
        <v>122</v>
      </c>
      <c r="C89" s="17" t="s">
        <v>37</v>
      </c>
      <c r="D89" s="33"/>
      <c r="E89" s="18">
        <f>'[11]2020 г. для давлат (2'!E88</f>
        <v>0</v>
      </c>
      <c r="F89" s="18" t="e">
        <f t="shared" si="6"/>
        <v>#DIV/0!</v>
      </c>
      <c r="G89" s="18">
        <f t="shared" si="7"/>
        <v>0</v>
      </c>
      <c r="H89" s="58"/>
      <c r="I89" s="18"/>
    </row>
    <row r="90" spans="1:10" ht="15.75" collapsed="1">
      <c r="A90" s="15"/>
      <c r="B90" s="16" t="s">
        <v>125</v>
      </c>
      <c r="C90" s="17" t="s">
        <v>37</v>
      </c>
      <c r="D90" s="26">
        <f>D72-D73+D77-D79</f>
        <v>28143.940999999977</v>
      </c>
      <c r="E90" s="26">
        <f>E72-E73+E77+E78-E79</f>
        <v>66188.19100000005</v>
      </c>
      <c r="F90" s="6">
        <f>ROUND(E90/D90*100,1)</f>
        <v>235.2</v>
      </c>
      <c r="G90" s="6">
        <f t="shared" si="7"/>
        <v>38044.250000000073</v>
      </c>
      <c r="H90" s="6">
        <v>23253.1</v>
      </c>
      <c r="I90" s="6">
        <f t="shared" ref="I90:I97" si="9">ROUND(E90/H90*100,1)</f>
        <v>284.60000000000002</v>
      </c>
      <c r="J90" t="s">
        <v>103</v>
      </c>
    </row>
    <row r="91" spans="1:10" ht="17.25" hidden="1" customHeight="1" outlineLevel="1">
      <c r="A91" s="15"/>
      <c r="B91" s="16" t="s">
        <v>126</v>
      </c>
      <c r="C91" s="17" t="s">
        <v>37</v>
      </c>
      <c r="D91" s="28"/>
      <c r="E91" s="18">
        <f>'[11]2020 г. для давлат (2'!E90</f>
        <v>0</v>
      </c>
      <c r="F91" s="18"/>
      <c r="G91" s="18">
        <f t="shared" si="7"/>
        <v>0</v>
      </c>
      <c r="H91" s="28">
        <v>0</v>
      </c>
      <c r="I91" s="18" t="e">
        <f t="shared" si="9"/>
        <v>#DIV/0!</v>
      </c>
      <c r="J91" t="s">
        <v>103</v>
      </c>
    </row>
    <row r="92" spans="1:10" ht="17.25" hidden="1" customHeight="1" outlineLevel="1">
      <c r="A92" s="15"/>
      <c r="B92" s="16" t="s">
        <v>127</v>
      </c>
      <c r="C92" s="17" t="s">
        <v>37</v>
      </c>
      <c r="D92" s="33"/>
      <c r="E92" s="18">
        <f>'[11]2020 г. для давлат (2'!E91</f>
        <v>0</v>
      </c>
      <c r="F92" s="18"/>
      <c r="G92" s="18">
        <f t="shared" si="7"/>
        <v>0</v>
      </c>
      <c r="H92" s="33">
        <v>0</v>
      </c>
      <c r="I92" s="18"/>
    </row>
    <row r="93" spans="1:10" ht="15.75" hidden="1" outlineLevel="1">
      <c r="A93" s="15"/>
      <c r="B93" s="16" t="s">
        <v>128</v>
      </c>
      <c r="C93" s="17" t="s">
        <v>37</v>
      </c>
      <c r="D93" s="33"/>
      <c r="E93" s="18">
        <f>'[11]2020 г. для давлат (2'!E92</f>
        <v>0</v>
      </c>
      <c r="F93" s="18">
        <v>0</v>
      </c>
      <c r="G93" s="18">
        <f t="shared" si="7"/>
        <v>0</v>
      </c>
      <c r="H93" s="18"/>
      <c r="I93" s="18"/>
      <c r="J93" t="s">
        <v>103</v>
      </c>
    </row>
    <row r="94" spans="1:10" ht="17.25" customHeight="1" collapsed="1">
      <c r="A94" s="15"/>
      <c r="B94" s="16" t="s">
        <v>129</v>
      </c>
      <c r="C94" s="17" t="s">
        <v>37</v>
      </c>
      <c r="D94" s="33">
        <v>4221.5910000000003</v>
      </c>
      <c r="E94" s="18">
        <v>10719.315000000001</v>
      </c>
      <c r="F94" s="18">
        <f>ROUND(E94/D94*100,1)</f>
        <v>253.9</v>
      </c>
      <c r="G94" s="18">
        <f t="shared" si="7"/>
        <v>6497.7240000000002</v>
      </c>
      <c r="H94" s="18">
        <v>2693.6</v>
      </c>
      <c r="I94" s="18"/>
      <c r="J94" t="s">
        <v>103</v>
      </c>
    </row>
    <row r="95" spans="1:10" ht="15.75" outlineLevel="1">
      <c r="A95" s="15"/>
      <c r="B95" s="16" t="s">
        <v>130</v>
      </c>
      <c r="C95" s="17" t="s">
        <v>37</v>
      </c>
      <c r="D95" s="33">
        <v>0</v>
      </c>
      <c r="E95" s="18">
        <f>'[11]2020 г. для давлат (2'!E94</f>
        <v>0</v>
      </c>
      <c r="F95" s="18"/>
      <c r="G95" s="18">
        <f t="shared" si="7"/>
        <v>0</v>
      </c>
      <c r="H95" s="18">
        <v>0</v>
      </c>
      <c r="I95" s="18"/>
      <c r="J95" t="s">
        <v>103</v>
      </c>
    </row>
    <row r="96" spans="1:10" ht="15.75" outlineLevel="1">
      <c r="A96" s="15"/>
      <c r="B96" s="16" t="s">
        <v>131</v>
      </c>
      <c r="C96" s="17" t="s">
        <v>37</v>
      </c>
      <c r="D96" s="33"/>
      <c r="E96" s="18">
        <f>'[11]2020 г. для давлат (2'!E95</f>
        <v>0</v>
      </c>
      <c r="F96" s="18"/>
      <c r="G96" s="18">
        <f t="shared" si="7"/>
        <v>0</v>
      </c>
      <c r="H96" s="18"/>
      <c r="I96" s="18"/>
    </row>
    <row r="97" spans="1:12" ht="15.75">
      <c r="A97" s="15"/>
      <c r="B97" s="52" t="s">
        <v>132</v>
      </c>
      <c r="C97" s="197" t="s">
        <v>37</v>
      </c>
      <c r="D97" s="203">
        <f>D90-D94-D95</f>
        <v>23922.349999999977</v>
      </c>
      <c r="E97" s="203">
        <f>E90-E94-E95</f>
        <v>55468.876000000047</v>
      </c>
      <c r="F97" s="6">
        <f>ROUND(E97/D97*100,1)</f>
        <v>231.9</v>
      </c>
      <c r="G97" s="6">
        <f t="shared" si="7"/>
        <v>31546.526000000071</v>
      </c>
      <c r="H97" s="6">
        <v>20559.599999999999</v>
      </c>
      <c r="I97" s="6">
        <f t="shared" si="9"/>
        <v>269.8</v>
      </c>
      <c r="J97" t="s">
        <v>103</v>
      </c>
    </row>
    <row r="98" spans="1:12" ht="15.75" hidden="1" outlineLevel="1">
      <c r="A98" s="15"/>
      <c r="B98" s="64" t="s">
        <v>133</v>
      </c>
      <c r="C98" s="17" t="s">
        <v>37</v>
      </c>
      <c r="D98" s="66"/>
      <c r="E98" s="18">
        <f>'[11]2020 г. для давлат (2'!E97</f>
        <v>0</v>
      </c>
      <c r="F98" s="66"/>
      <c r="G98" s="66"/>
      <c r="H98" s="23">
        <v>0</v>
      </c>
      <c r="I98" s="66"/>
    </row>
    <row r="99" spans="1:12" ht="15.75" hidden="1" outlineLevel="1">
      <c r="A99" s="15"/>
      <c r="B99" s="16" t="s">
        <v>134</v>
      </c>
      <c r="C99" s="17" t="s">
        <v>37</v>
      </c>
      <c r="D99" s="34"/>
      <c r="E99" s="18">
        <f>'[11]2020 г. для давлат (2'!E98</f>
        <v>0</v>
      </c>
      <c r="F99" s="18">
        <f>IF(E99&gt;0,ROUND(E99/D99*100,1),0)</f>
        <v>0</v>
      </c>
      <c r="G99" s="18">
        <f>E99-D99</f>
        <v>0</v>
      </c>
      <c r="H99" s="23">
        <v>0</v>
      </c>
      <c r="I99" s="34"/>
    </row>
    <row r="100" spans="1:12" ht="16.5" hidden="1" customHeight="1" outlineLevel="1">
      <c r="A100" s="15"/>
      <c r="B100" s="16" t="s">
        <v>135</v>
      </c>
      <c r="C100" s="17" t="s">
        <v>37</v>
      </c>
      <c r="D100" s="34"/>
      <c r="E100" s="18">
        <f>'[11]2020 г. для давлат (2'!E99</f>
        <v>0</v>
      </c>
      <c r="F100" s="34"/>
      <c r="G100" s="34"/>
      <c r="H100" s="23">
        <v>0</v>
      </c>
      <c r="I100" s="34"/>
    </row>
    <row r="101" spans="1:12" ht="16.5" hidden="1" customHeight="1" outlineLevel="1">
      <c r="A101" s="67"/>
      <c r="B101" s="68" t="s">
        <v>119</v>
      </c>
      <c r="C101" s="17" t="s">
        <v>37</v>
      </c>
      <c r="D101" s="70">
        <v>0</v>
      </c>
      <c r="E101" s="18">
        <f>'[11]2020 г. для давлат (2'!E100</f>
        <v>0</v>
      </c>
      <c r="F101" s="70"/>
      <c r="G101" s="70"/>
      <c r="H101" s="71">
        <v>0</v>
      </c>
      <c r="I101" s="70"/>
    </row>
    <row r="102" spans="1:12" ht="15.75" collapsed="1">
      <c r="A102" s="15" t="s">
        <v>136</v>
      </c>
      <c r="B102" s="52" t="s">
        <v>137</v>
      </c>
      <c r="C102" s="17" t="s">
        <v>37</v>
      </c>
      <c r="D102" s="34"/>
      <c r="E102" s="18">
        <f>'[11]2020 г. для давлат (2'!E101</f>
        <v>0</v>
      </c>
      <c r="F102" s="18"/>
      <c r="G102" s="18"/>
      <c r="H102" s="34"/>
      <c r="I102" s="18"/>
    </row>
    <row r="103" spans="1:12" ht="15.75">
      <c r="A103" s="15"/>
      <c r="B103" s="29" t="s">
        <v>138</v>
      </c>
      <c r="C103" s="17" t="s">
        <v>37</v>
      </c>
      <c r="D103" s="6">
        <f>D104+D105+D106+D107+D108+D114</f>
        <v>225043.14907000001</v>
      </c>
      <c r="E103" s="6">
        <f>E104+E105+E106+E107+E108+E114</f>
        <v>229924.55</v>
      </c>
      <c r="F103" s="6">
        <f>ROUND(E103/D103*100,1)</f>
        <v>102.2</v>
      </c>
      <c r="G103" s="6">
        <f>E103-D103</f>
        <v>4881.4009299999743</v>
      </c>
      <c r="H103" s="6">
        <v>228732</v>
      </c>
      <c r="I103" s="6">
        <f>ROUND(E103/H103*100,1)</f>
        <v>100.5</v>
      </c>
      <c r="J103" s="11" t="s">
        <v>139</v>
      </c>
    </row>
    <row r="104" spans="1:12" ht="15.75">
      <c r="A104" s="15"/>
      <c r="B104" s="61" t="s">
        <v>140</v>
      </c>
      <c r="C104" s="17" t="s">
        <v>37</v>
      </c>
      <c r="D104" s="34">
        <f>D94</f>
        <v>4221.5910000000003</v>
      </c>
      <c r="E104" s="34">
        <f>E94</f>
        <v>10719.315000000001</v>
      </c>
      <c r="F104" s="18">
        <f>ROUND(E104/D104*100,1)</f>
        <v>253.9</v>
      </c>
      <c r="G104" s="18">
        <f>E104-D104</f>
        <v>6497.7240000000002</v>
      </c>
      <c r="H104" s="18">
        <v>2693.6</v>
      </c>
      <c r="I104" s="18"/>
      <c r="J104" s="11" t="s">
        <v>139</v>
      </c>
    </row>
    <row r="105" spans="1:12" ht="17.25" customHeight="1">
      <c r="A105" s="15"/>
      <c r="B105" s="61" t="s">
        <v>141</v>
      </c>
      <c r="C105" s="17" t="s">
        <v>37</v>
      </c>
      <c r="D105" s="34"/>
      <c r="E105" s="18">
        <v>0</v>
      </c>
      <c r="F105" s="34"/>
      <c r="G105" s="34"/>
      <c r="H105" s="18"/>
      <c r="I105" s="18"/>
      <c r="J105" s="11"/>
    </row>
    <row r="106" spans="1:12" ht="17.25" customHeight="1">
      <c r="A106" s="15"/>
      <c r="B106" s="72" t="s">
        <v>142</v>
      </c>
      <c r="C106" s="17" t="s">
        <v>37</v>
      </c>
      <c r="D106" s="34">
        <f>D95</f>
        <v>0</v>
      </c>
      <c r="E106" s="18">
        <v>0</v>
      </c>
      <c r="F106" s="18"/>
      <c r="G106" s="34">
        <f>E106-D106</f>
        <v>0</v>
      </c>
      <c r="H106" s="18"/>
      <c r="I106" s="18"/>
      <c r="J106" s="11" t="s">
        <v>139</v>
      </c>
    </row>
    <row r="107" spans="1:12" ht="19.5" customHeight="1">
      <c r="A107" s="15"/>
      <c r="B107" s="61" t="s">
        <v>143</v>
      </c>
      <c r="C107" s="17" t="s">
        <v>37</v>
      </c>
      <c r="D107" s="18">
        <f>886632.317*15%</f>
        <v>132994.84755000001</v>
      </c>
      <c r="E107" s="18">
        <v>116263</v>
      </c>
      <c r="F107" s="18">
        <f>ROUND(E107/D107*100,1)</f>
        <v>87.4</v>
      </c>
      <c r="G107" s="202">
        <f>E107-D107</f>
        <v>-16731.847550000006</v>
      </c>
      <c r="H107" s="18">
        <v>100390.8</v>
      </c>
      <c r="I107" s="18">
        <f>ROUND(E107/H107*100,1)</f>
        <v>115.8</v>
      </c>
      <c r="J107" s="11" t="s">
        <v>139</v>
      </c>
    </row>
    <row r="108" spans="1:12" ht="20.25" customHeight="1">
      <c r="A108" s="15"/>
      <c r="B108" s="74" t="s">
        <v>144</v>
      </c>
      <c r="C108" s="17" t="s">
        <v>37</v>
      </c>
      <c r="D108" s="6">
        <f>SUM(D109:D113)</f>
        <v>53493.157999999996</v>
      </c>
      <c r="E108" s="6">
        <f>SUM(E109:E113)</f>
        <v>59976.436000000002</v>
      </c>
      <c r="F108" s="6">
        <f>ROUND(E108/D108*100,1)</f>
        <v>112.1</v>
      </c>
      <c r="G108" s="6">
        <f>E108-D108</f>
        <v>6483.2780000000057</v>
      </c>
      <c r="H108" s="6">
        <v>51738.1</v>
      </c>
      <c r="I108" s="6">
        <f>IF(H108&gt;0,ROUND(E108/H108*100,1),0)</f>
        <v>115.9</v>
      </c>
      <c r="J108" s="11" t="s">
        <v>139</v>
      </c>
    </row>
    <row r="109" spans="1:12" ht="15.75">
      <c r="A109" s="15"/>
      <c r="B109" s="75" t="str">
        <f>'[1]1полугодие'!$A$245</f>
        <v xml:space="preserve">  - налог на имущ, по неиспольз.объектам Ангрен</v>
      </c>
      <c r="C109" s="17" t="s">
        <v>37</v>
      </c>
      <c r="D109" s="34">
        <v>0</v>
      </c>
      <c r="E109" s="18">
        <v>115.926</v>
      </c>
      <c r="F109" s="34"/>
      <c r="G109" s="34"/>
      <c r="H109" s="18"/>
      <c r="I109" s="34"/>
    </row>
    <row r="110" spans="1:12" s="19" customFormat="1" ht="15.75">
      <c r="A110" s="15"/>
      <c r="B110" s="30" t="s">
        <v>146</v>
      </c>
      <c r="C110" s="17" t="s">
        <v>37</v>
      </c>
      <c r="D110" s="34">
        <v>3142.018</v>
      </c>
      <c r="E110" s="18">
        <v>3374</v>
      </c>
      <c r="F110" s="18">
        <f>ROUND(E110/D110*100,1)</f>
        <v>107.4</v>
      </c>
      <c r="G110" s="18">
        <f>E110-D110</f>
        <v>231.98199999999997</v>
      </c>
      <c r="H110" s="18">
        <v>4227.1000000000004</v>
      </c>
      <c r="I110" s="34">
        <f>ROUND(E110/H110*100,1)</f>
        <v>79.8</v>
      </c>
      <c r="J110" s="11" t="s">
        <v>139</v>
      </c>
      <c r="K110"/>
      <c r="L110"/>
    </row>
    <row r="111" spans="1:12" ht="15.75">
      <c r="A111" s="15"/>
      <c r="B111" s="30" t="s">
        <v>147</v>
      </c>
      <c r="C111" s="17" t="s">
        <v>37</v>
      </c>
      <c r="D111" s="34">
        <v>1059.3720000000001</v>
      </c>
      <c r="E111" s="18">
        <v>913</v>
      </c>
      <c r="F111" s="18">
        <f>ROUND(E111/D111*100,1)</f>
        <v>86.2</v>
      </c>
      <c r="G111" s="18">
        <f>E111-D111</f>
        <v>-146.37200000000007</v>
      </c>
      <c r="H111" s="18">
        <v>882</v>
      </c>
      <c r="I111" s="34">
        <f>ROUND(E111/H111*100,1)</f>
        <v>103.5</v>
      </c>
      <c r="J111" s="11" t="s">
        <v>139</v>
      </c>
    </row>
    <row r="112" spans="1:12" ht="15.75">
      <c r="A112" s="15"/>
      <c r="B112" s="30" t="s">
        <v>148</v>
      </c>
      <c r="C112" s="17" t="s">
        <v>37</v>
      </c>
      <c r="D112" s="34">
        <v>10021.06</v>
      </c>
      <c r="E112" s="18">
        <v>14210.51</v>
      </c>
      <c r="F112" s="18">
        <f>ROUND(E112/D112*100,1)</f>
        <v>141.80000000000001</v>
      </c>
      <c r="G112" s="18">
        <f>E112-D112</f>
        <v>4189.4500000000007</v>
      </c>
      <c r="H112" s="18">
        <v>9907.4</v>
      </c>
      <c r="I112" s="34">
        <f>ROUND(E112/H112*100,1)</f>
        <v>143.4</v>
      </c>
      <c r="J112" s="11" t="s">
        <v>139</v>
      </c>
    </row>
    <row r="113" spans="1:13" ht="15.75">
      <c r="A113" s="15"/>
      <c r="B113" s="30" t="s">
        <v>149</v>
      </c>
      <c r="C113" s="17" t="s">
        <v>37</v>
      </c>
      <c r="D113" s="34">
        <v>39270.707999999999</v>
      </c>
      <c r="E113" s="18">
        <v>41363</v>
      </c>
      <c r="F113" s="18">
        <f>ROUND(E113/D113*100,1)</f>
        <v>105.3</v>
      </c>
      <c r="G113" s="18">
        <f>E113-D113</f>
        <v>2092.2920000000013</v>
      </c>
      <c r="H113" s="18">
        <v>36721.572</v>
      </c>
      <c r="I113" s="34">
        <f>ROUND(E113/H113*100,1)</f>
        <v>112.6</v>
      </c>
      <c r="J113" s="11" t="s">
        <v>139</v>
      </c>
    </row>
    <row r="114" spans="1:13" ht="21" customHeight="1">
      <c r="A114" s="15"/>
      <c r="B114" s="76" t="s">
        <v>150</v>
      </c>
      <c r="C114" s="17" t="s">
        <v>37</v>
      </c>
      <c r="D114" s="6">
        <f>SUM(D116:D122)</f>
        <v>34333.552519999997</v>
      </c>
      <c r="E114" s="6">
        <f>SUM(E116:E122)</f>
        <v>42965.798999999999</v>
      </c>
      <c r="F114" s="6">
        <f>ROUND(E114/D114*100,1)</f>
        <v>125.1</v>
      </c>
      <c r="G114" s="6">
        <f>E114-D114</f>
        <v>8632.2464800000016</v>
      </c>
      <c r="H114" s="18">
        <v>73909.543999999994</v>
      </c>
      <c r="I114" s="6">
        <f>ROUND(E114/H114*100,1)</f>
        <v>58.1</v>
      </c>
      <c r="J114" s="11" t="s">
        <v>139</v>
      </c>
    </row>
    <row r="115" spans="1:13" ht="15.75">
      <c r="A115" s="15"/>
      <c r="B115" s="15" t="s">
        <v>12</v>
      </c>
      <c r="C115" s="17" t="s">
        <v>37</v>
      </c>
      <c r="D115" s="34"/>
      <c r="E115" s="18">
        <f>'[11]2020 г. для давлат (2'!E114</f>
        <v>0</v>
      </c>
      <c r="F115" s="34"/>
      <c r="G115" s="34"/>
      <c r="H115" s="23">
        <v>0</v>
      </c>
      <c r="I115" s="34"/>
    </row>
    <row r="116" spans="1:13" ht="21" hidden="1" customHeight="1" outlineLevel="1">
      <c r="A116" s="15"/>
      <c r="B116" s="200" t="s">
        <v>210</v>
      </c>
      <c r="C116" s="17" t="s">
        <v>37</v>
      </c>
      <c r="D116" s="18"/>
      <c r="E116" s="18">
        <f>'[11]2020 г. для давлат (2'!E115</f>
        <v>0</v>
      </c>
      <c r="F116" s="18"/>
      <c r="G116" s="18">
        <f t="shared" ref="G116:G123" si="10">E116-D116</f>
        <v>0</v>
      </c>
      <c r="H116" s="18">
        <v>0</v>
      </c>
      <c r="I116" s="18" t="e">
        <f t="shared" ref="I116:I123" si="11">ROUND(E116/H116*100,1)</f>
        <v>#DIV/0!</v>
      </c>
      <c r="J116" s="11" t="s">
        <v>139</v>
      </c>
    </row>
    <row r="117" spans="1:13" ht="30" hidden="1" customHeight="1" outlineLevel="1">
      <c r="A117" s="15"/>
      <c r="B117" s="200" t="s">
        <v>211</v>
      </c>
      <c r="C117" s="17" t="s">
        <v>37</v>
      </c>
      <c r="D117" s="18"/>
      <c r="E117" s="18">
        <f>'[11]2020 г. для давлат (2'!E116</f>
        <v>0</v>
      </c>
      <c r="F117" s="18"/>
      <c r="G117" s="18">
        <f t="shared" si="10"/>
        <v>0</v>
      </c>
      <c r="H117" s="18">
        <v>31695.144</v>
      </c>
      <c r="I117" s="18">
        <f t="shared" si="11"/>
        <v>0</v>
      </c>
      <c r="J117" s="11" t="s">
        <v>139</v>
      </c>
    </row>
    <row r="118" spans="1:13" ht="15.75" collapsed="1">
      <c r="A118" s="15"/>
      <c r="B118" s="200" t="s">
        <v>204</v>
      </c>
      <c r="C118" s="17" t="s">
        <v>37</v>
      </c>
      <c r="D118" s="18">
        <f>270006.996*12%</f>
        <v>32400.839519999998</v>
      </c>
      <c r="E118" s="18">
        <v>35902.290999999997</v>
      </c>
      <c r="F118" s="18">
        <f>ROUND(E118/D118*100,1)</f>
        <v>110.8</v>
      </c>
      <c r="G118" s="18">
        <f t="shared" si="10"/>
        <v>3501.4514799999997</v>
      </c>
      <c r="H118" s="18">
        <v>31695.1</v>
      </c>
      <c r="I118" s="18">
        <f t="shared" si="11"/>
        <v>113.3</v>
      </c>
      <c r="J118" s="11" t="s">
        <v>139</v>
      </c>
    </row>
    <row r="119" spans="1:13" ht="34.5" customHeight="1">
      <c r="A119" s="67"/>
      <c r="B119" s="15" t="str">
        <f>'[11] за 1 квартал  2020г. '!B118</f>
        <v xml:space="preserve"> Обязательные отчисления во внебюджетный Пенсионный Фонд (ст.12,ст.15)</v>
      </c>
      <c r="C119" s="17" t="s">
        <v>37</v>
      </c>
      <c r="D119" s="18">
        <f>1229.785+702.928</f>
        <v>1932.7130000000002</v>
      </c>
      <c r="E119" s="18">
        <f>5935.918+1127.59</f>
        <v>7063.5079999999998</v>
      </c>
      <c r="F119" s="18">
        <f>ROUND(E119/D119*100,1)</f>
        <v>365.5</v>
      </c>
      <c r="G119" s="35">
        <f>E119-D119</f>
        <v>5130.7950000000001</v>
      </c>
      <c r="H119" s="18">
        <v>5624.9</v>
      </c>
      <c r="I119" s="18">
        <f t="shared" si="11"/>
        <v>125.6</v>
      </c>
      <c r="J119" s="11" t="s">
        <v>139</v>
      </c>
    </row>
    <row r="120" spans="1:13" ht="36.75" hidden="1" customHeight="1" outlineLevel="1">
      <c r="A120" s="15"/>
      <c r="B120" s="15" t="s">
        <v>154</v>
      </c>
      <c r="C120" s="17" t="s">
        <v>37</v>
      </c>
      <c r="D120" s="18"/>
      <c r="E120" s="18"/>
      <c r="F120" s="18" t="e">
        <f t="shared" ref="F120:F121" si="12">ROUND(E120/D120*100,1)</f>
        <v>#DIV/0!</v>
      </c>
      <c r="G120" s="35">
        <f t="shared" si="10"/>
        <v>0</v>
      </c>
      <c r="H120" s="18"/>
      <c r="I120" s="18"/>
      <c r="J120" s="11" t="s">
        <v>139</v>
      </c>
      <c r="M120">
        <f>15287.1+3820.2</f>
        <v>19107.3</v>
      </c>
    </row>
    <row r="121" spans="1:13" ht="36" hidden="1" customHeight="1" outlineLevel="1">
      <c r="A121" s="15"/>
      <c r="B121" s="15" t="s">
        <v>155</v>
      </c>
      <c r="C121" s="17" t="s">
        <v>37</v>
      </c>
      <c r="D121" s="18"/>
      <c r="E121" s="18"/>
      <c r="F121" s="18" t="e">
        <f t="shared" si="12"/>
        <v>#DIV/0!</v>
      </c>
      <c r="G121" s="18">
        <f t="shared" si="10"/>
        <v>0</v>
      </c>
      <c r="H121" s="18">
        <v>36589.5</v>
      </c>
      <c r="I121" s="18">
        <f t="shared" si="11"/>
        <v>0</v>
      </c>
      <c r="J121" s="11" t="s">
        <v>139</v>
      </c>
    </row>
    <row r="122" spans="1:13" ht="24" customHeight="1" collapsed="1">
      <c r="A122" s="15"/>
      <c r="B122" s="93" t="s">
        <v>219</v>
      </c>
      <c r="C122" s="17" t="s">
        <v>37</v>
      </c>
      <c r="D122" s="18">
        <v>0</v>
      </c>
      <c r="E122" s="18"/>
      <c r="F122" s="18"/>
      <c r="G122" s="18">
        <f t="shared" si="10"/>
        <v>0</v>
      </c>
      <c r="H122" s="18">
        <v>36589.5</v>
      </c>
      <c r="I122" s="18">
        <f t="shared" si="11"/>
        <v>0</v>
      </c>
      <c r="J122" s="11"/>
    </row>
    <row r="123" spans="1:13" ht="15.75" hidden="1" outlineLevel="1">
      <c r="A123" s="15"/>
      <c r="B123" s="52" t="s">
        <v>156</v>
      </c>
      <c r="C123" s="17" t="s">
        <v>37</v>
      </c>
      <c r="D123" s="6">
        <f>D103+T109</f>
        <v>225043.14907000001</v>
      </c>
      <c r="E123" s="18"/>
      <c r="F123" s="6">
        <f>ROUND(E123/D123*100,1)</f>
        <v>0</v>
      </c>
      <c r="G123" s="6">
        <f t="shared" si="10"/>
        <v>-225043.14907000001</v>
      </c>
      <c r="H123" s="6" t="s">
        <v>73</v>
      </c>
      <c r="I123" s="6" t="e">
        <f t="shared" si="11"/>
        <v>#VALUE!</v>
      </c>
      <c r="J123" s="11" t="s">
        <v>139</v>
      </c>
    </row>
    <row r="124" spans="1:13" ht="15.75" collapsed="1">
      <c r="A124" s="15" t="s">
        <v>157</v>
      </c>
      <c r="B124" s="52" t="s">
        <v>158</v>
      </c>
      <c r="C124" s="17" t="s">
        <v>37</v>
      </c>
      <c r="D124" s="18" t="s">
        <v>73</v>
      </c>
      <c r="E124" s="18" t="s">
        <v>73</v>
      </c>
      <c r="F124" s="18" t="s">
        <v>73</v>
      </c>
      <c r="G124" s="18" t="s">
        <v>73</v>
      </c>
      <c r="H124" s="18" t="s">
        <v>73</v>
      </c>
      <c r="I124" s="18" t="s">
        <v>73</v>
      </c>
    </row>
    <row r="125" spans="1:13" ht="27" customHeight="1">
      <c r="A125" s="15"/>
      <c r="B125" s="77" t="s">
        <v>159</v>
      </c>
      <c r="C125" s="17" t="s">
        <v>37</v>
      </c>
      <c r="D125" s="6" t="s">
        <v>73</v>
      </c>
      <c r="E125" s="18" t="s">
        <v>73</v>
      </c>
      <c r="F125" s="6" t="s">
        <v>73</v>
      </c>
      <c r="G125" s="6" t="s">
        <v>73</v>
      </c>
      <c r="H125" s="18">
        <v>0</v>
      </c>
      <c r="I125" s="6" t="s">
        <v>73</v>
      </c>
      <c r="J125" s="36"/>
      <c r="K125" s="1"/>
    </row>
    <row r="126" spans="1:13" ht="18" hidden="1" customHeight="1" outlineLevel="1">
      <c r="A126" s="15"/>
      <c r="B126" s="16" t="s">
        <v>160</v>
      </c>
      <c r="C126" s="17" t="s">
        <v>37</v>
      </c>
      <c r="D126" s="18"/>
      <c r="E126" s="18">
        <f>'[11]2020 г. для давлат (2'!E125</f>
        <v>0</v>
      </c>
      <c r="F126" s="18"/>
      <c r="G126" s="18"/>
      <c r="H126" s="18">
        <v>718170.71900000004</v>
      </c>
      <c r="I126" s="18"/>
    </row>
    <row r="127" spans="1:13" ht="24" customHeight="1" collapsed="1">
      <c r="A127" s="15" t="s">
        <v>161</v>
      </c>
      <c r="B127" s="52" t="s">
        <v>162</v>
      </c>
      <c r="C127" s="17" t="s">
        <v>37</v>
      </c>
      <c r="D127" s="6">
        <f>SUM(D129:D132)</f>
        <v>780779.60199999996</v>
      </c>
      <c r="E127" s="6">
        <f>SUM(E129:E132)</f>
        <v>698262.04</v>
      </c>
      <c r="F127" s="6">
        <f>ROUND(E127/D127*100,1)</f>
        <v>89.4</v>
      </c>
      <c r="G127" s="6">
        <f t="shared" ref="G127:G148" si="13">E127-D127</f>
        <v>-82517.561999999918</v>
      </c>
      <c r="H127" s="6">
        <v>718170.7</v>
      </c>
      <c r="I127" s="6">
        <f>ROUND(E127/H127*100,1)</f>
        <v>97.2</v>
      </c>
      <c r="J127" s="11" t="s">
        <v>139</v>
      </c>
      <c r="M127" s="11"/>
    </row>
    <row r="128" spans="1:13" ht="15.75">
      <c r="A128" s="15"/>
      <c r="B128" s="15" t="s">
        <v>163</v>
      </c>
      <c r="C128" s="17" t="s">
        <v>37</v>
      </c>
      <c r="D128" s="18"/>
      <c r="E128" s="18"/>
      <c r="F128" s="18"/>
      <c r="G128" s="18">
        <f t="shared" si="13"/>
        <v>0</v>
      </c>
      <c r="H128" s="18"/>
      <c r="I128" s="18"/>
      <c r="M128" s="11"/>
    </row>
    <row r="129" spans="1:13" ht="19.5" customHeight="1">
      <c r="A129" s="15"/>
      <c r="B129" s="61" t="s">
        <v>164</v>
      </c>
      <c r="C129" s="17" t="s">
        <v>37</v>
      </c>
      <c r="D129" s="18">
        <v>381605.42</v>
      </c>
      <c r="E129" s="18">
        <v>306039.12300000002</v>
      </c>
      <c r="F129" s="18">
        <f>ROUND(E129/D129*100,1)</f>
        <v>80.2</v>
      </c>
      <c r="G129" s="18">
        <f t="shared" si="13"/>
        <v>-75566.296999999962</v>
      </c>
      <c r="H129" s="18">
        <v>337716.21500000003</v>
      </c>
      <c r="I129" s="18">
        <f>ROUND(E129/H129*100,1)</f>
        <v>90.6</v>
      </c>
      <c r="J129" s="11" t="s">
        <v>139</v>
      </c>
    </row>
    <row r="130" spans="1:13" ht="18" customHeight="1">
      <c r="A130" s="15"/>
      <c r="B130" s="61" t="s">
        <v>165</v>
      </c>
      <c r="C130" s="17" t="s">
        <v>37</v>
      </c>
      <c r="D130" s="18">
        <f>213090.931+25570.771</f>
        <v>238661.70200000002</v>
      </c>
      <c r="E130" s="18">
        <f>200704.189+24084.328</f>
        <v>224788.51700000002</v>
      </c>
      <c r="F130" s="18">
        <f>ROUND(E130/D130*100,1)</f>
        <v>94.2</v>
      </c>
      <c r="G130" s="18">
        <f t="shared" si="13"/>
        <v>-13873.184999999998</v>
      </c>
      <c r="H130" s="18">
        <v>214552.31</v>
      </c>
      <c r="I130" s="18">
        <f>ROUND(E130/H130*100,1)</f>
        <v>104.8</v>
      </c>
      <c r="J130" s="11" t="s">
        <v>139</v>
      </c>
    </row>
    <row r="131" spans="1:13" ht="31.5">
      <c r="A131" s="15"/>
      <c r="B131" s="61" t="s">
        <v>166</v>
      </c>
      <c r="C131" s="17" t="s">
        <v>37</v>
      </c>
      <c r="D131" s="18">
        <v>138668.318</v>
      </c>
      <c r="E131" s="18">
        <v>136492.14499999999</v>
      </c>
      <c r="F131" s="18">
        <f>ROUND(E131/D131*100,1)</f>
        <v>98.4</v>
      </c>
      <c r="G131" s="18">
        <f t="shared" si="13"/>
        <v>-2176.1730000000098</v>
      </c>
      <c r="H131" s="18">
        <v>137365.302</v>
      </c>
      <c r="I131" s="18">
        <f>ROUND(E131/H131*100,1)</f>
        <v>99.4</v>
      </c>
      <c r="J131" s="11" t="s">
        <v>139</v>
      </c>
    </row>
    <row r="132" spans="1:13" ht="15.75">
      <c r="A132" s="15"/>
      <c r="B132" s="61" t="s">
        <v>167</v>
      </c>
      <c r="C132" s="17" t="s">
        <v>37</v>
      </c>
      <c r="D132" s="18">
        <v>21844.162</v>
      </c>
      <c r="E132" s="18">
        <v>30942.255000000001</v>
      </c>
      <c r="F132" s="18">
        <f>ROUND(E132/D132*100,1)</f>
        <v>141.6</v>
      </c>
      <c r="G132" s="18">
        <f t="shared" si="13"/>
        <v>9098.0930000000008</v>
      </c>
      <c r="H132" s="18">
        <v>28536.892</v>
      </c>
      <c r="I132" s="18">
        <f>ROUND(E132/H132*100,1)</f>
        <v>108.4</v>
      </c>
      <c r="J132" s="11" t="s">
        <v>139</v>
      </c>
    </row>
    <row r="133" spans="1:13" ht="23.25" customHeight="1">
      <c r="A133" s="17" t="s">
        <v>168</v>
      </c>
      <c r="B133" s="78" t="s">
        <v>169</v>
      </c>
      <c r="C133" s="197" t="s">
        <v>37</v>
      </c>
      <c r="D133" s="6"/>
      <c r="E133" s="6"/>
      <c r="F133" s="6"/>
      <c r="G133" s="6">
        <f>E133-D133</f>
        <v>0</v>
      </c>
      <c r="H133" s="6">
        <v>2395184</v>
      </c>
      <c r="I133" s="6">
        <f>IF(H133&gt;0,ROUND(E133/H133*100,1),0)</f>
        <v>0</v>
      </c>
      <c r="K133" t="s">
        <v>170</v>
      </c>
    </row>
    <row r="134" spans="1:13" ht="15.75">
      <c r="A134" s="15"/>
      <c r="B134" s="15" t="s">
        <v>12</v>
      </c>
      <c r="C134" s="17" t="s">
        <v>37</v>
      </c>
      <c r="D134" s="18"/>
      <c r="E134" s="18"/>
      <c r="F134" s="18"/>
      <c r="G134" s="18">
        <f t="shared" si="13"/>
        <v>0</v>
      </c>
      <c r="H134" s="18"/>
      <c r="I134" s="18"/>
    </row>
    <row r="135" spans="1:13" ht="24.75" customHeight="1">
      <c r="A135" s="15"/>
      <c r="B135" s="29" t="s">
        <v>171</v>
      </c>
      <c r="C135" s="17" t="s">
        <v>37</v>
      </c>
      <c r="D135" s="34"/>
      <c r="E135" s="18">
        <f>E137+E138</f>
        <v>924154</v>
      </c>
      <c r="F135" s="34"/>
      <c r="G135" s="34">
        <f t="shared" si="13"/>
        <v>924154</v>
      </c>
      <c r="H135" s="18">
        <v>1858426</v>
      </c>
      <c r="I135" s="34">
        <f>IF(H135&gt;0,ROUND(E135/H135*100,1),0)</f>
        <v>49.7</v>
      </c>
      <c r="K135" t="s">
        <v>170</v>
      </c>
      <c r="L135" t="s">
        <v>170</v>
      </c>
      <c r="M135" t="s">
        <v>172</v>
      </c>
    </row>
    <row r="136" spans="1:13" ht="15.75">
      <c r="A136" s="15"/>
      <c r="B136" s="15" t="s">
        <v>163</v>
      </c>
      <c r="C136" s="17" t="s">
        <v>37</v>
      </c>
      <c r="D136" s="18"/>
      <c r="E136" s="18"/>
      <c r="F136" s="18"/>
      <c r="G136" s="18">
        <f t="shared" si="13"/>
        <v>0</v>
      </c>
      <c r="H136" s="18"/>
      <c r="I136" s="18"/>
    </row>
    <row r="137" spans="1:13" ht="15.75">
      <c r="A137" s="15"/>
      <c r="B137" s="61" t="s">
        <v>173</v>
      </c>
      <c r="C137" s="17" t="s">
        <v>37</v>
      </c>
      <c r="D137" s="18"/>
      <c r="E137" s="18">
        <v>923559</v>
      </c>
      <c r="F137" s="18"/>
      <c r="G137" s="18">
        <f t="shared" si="13"/>
        <v>923559</v>
      </c>
      <c r="H137" s="18">
        <v>1040038</v>
      </c>
      <c r="I137" s="18">
        <f>IF(H137&gt;0,ROUND(E137/H137*100,1),0)</f>
        <v>88.8</v>
      </c>
      <c r="K137" t="s">
        <v>170</v>
      </c>
      <c r="L137" t="s">
        <v>170</v>
      </c>
      <c r="M137" t="s">
        <v>174</v>
      </c>
    </row>
    <row r="138" spans="1:13" ht="15.75">
      <c r="A138" s="15"/>
      <c r="B138" s="61" t="s">
        <v>175</v>
      </c>
      <c r="C138" s="17" t="s">
        <v>37</v>
      </c>
      <c r="D138" s="18"/>
      <c r="E138" s="18">
        <v>595</v>
      </c>
      <c r="F138" s="18"/>
      <c r="G138" s="18">
        <f t="shared" si="13"/>
        <v>595</v>
      </c>
      <c r="H138" s="18">
        <v>910</v>
      </c>
      <c r="I138" s="18">
        <f>IF(H138&gt;0,ROUND(E138/H138*100,1),0)</f>
        <v>65.400000000000006</v>
      </c>
      <c r="K138" t="s">
        <v>170</v>
      </c>
      <c r="L138" t="s">
        <v>170</v>
      </c>
      <c r="M138" t="s">
        <v>176</v>
      </c>
    </row>
    <row r="139" spans="1:13" ht="15.75">
      <c r="A139" s="15"/>
      <c r="B139" s="16" t="s">
        <v>177</v>
      </c>
      <c r="C139" s="17" t="s">
        <v>37</v>
      </c>
      <c r="D139" s="18"/>
      <c r="E139" s="18"/>
      <c r="F139" s="18"/>
      <c r="G139" s="18">
        <f t="shared" si="13"/>
        <v>0</v>
      </c>
      <c r="H139" s="18">
        <v>536758</v>
      </c>
      <c r="I139" s="18">
        <f>IF(H139&gt;0,ROUND(E139/H139*100,1),0)</f>
        <v>0</v>
      </c>
      <c r="K139" t="s">
        <v>170</v>
      </c>
      <c r="L139" t="s">
        <v>170</v>
      </c>
      <c r="M139" t="s">
        <v>178</v>
      </c>
    </row>
    <row r="140" spans="1:13" ht="15.75">
      <c r="A140" s="15"/>
      <c r="B140" s="15" t="s">
        <v>52</v>
      </c>
      <c r="C140" s="17" t="s">
        <v>37</v>
      </c>
      <c r="D140" s="18"/>
      <c r="E140" s="18"/>
      <c r="F140" s="18"/>
      <c r="G140" s="18">
        <f t="shared" si="13"/>
        <v>0</v>
      </c>
      <c r="H140" s="18"/>
      <c r="I140" s="18"/>
      <c r="K140" t="s">
        <v>170</v>
      </c>
      <c r="L140" t="s">
        <v>170</v>
      </c>
    </row>
    <row r="141" spans="1:13" ht="20.25" customHeight="1">
      <c r="A141" s="79"/>
      <c r="B141" s="80" t="s">
        <v>179</v>
      </c>
      <c r="C141" s="17" t="s">
        <v>37</v>
      </c>
      <c r="D141" s="81"/>
      <c r="E141" s="18">
        <v>143757.57999999999</v>
      </c>
      <c r="F141" s="18"/>
      <c r="G141" s="81">
        <f t="shared" si="13"/>
        <v>143757.57999999999</v>
      </c>
      <c r="H141" s="18">
        <v>182818</v>
      </c>
      <c r="I141" s="18">
        <f>IF(H141&gt;0,ROUND(E141/H141*100,1),0)</f>
        <v>78.599999999999994</v>
      </c>
      <c r="K141" t="s">
        <v>170</v>
      </c>
      <c r="L141" t="s">
        <v>170</v>
      </c>
      <c r="M141" t="s">
        <v>180</v>
      </c>
    </row>
    <row r="142" spans="1:13" ht="15.75">
      <c r="A142" s="15"/>
      <c r="B142" s="15" t="s">
        <v>163</v>
      </c>
      <c r="C142" s="17" t="s">
        <v>37</v>
      </c>
      <c r="D142" s="18"/>
      <c r="E142" s="18"/>
      <c r="F142" s="18"/>
      <c r="G142" s="18">
        <f t="shared" si="13"/>
        <v>0</v>
      </c>
      <c r="H142" s="18"/>
      <c r="I142" s="18"/>
      <c r="K142" t="s">
        <v>170</v>
      </c>
      <c r="L142" t="s">
        <v>170</v>
      </c>
    </row>
    <row r="143" spans="1:13" ht="20.25" customHeight="1">
      <c r="A143" s="15"/>
      <c r="B143" s="61" t="s">
        <v>181</v>
      </c>
      <c r="C143" s="17" t="s">
        <v>37</v>
      </c>
      <c r="D143" s="18"/>
      <c r="E143" s="18">
        <v>102078.277</v>
      </c>
      <c r="F143" s="18"/>
      <c r="G143" s="18">
        <f t="shared" si="13"/>
        <v>102078.277</v>
      </c>
      <c r="H143" s="18">
        <v>101305</v>
      </c>
      <c r="I143" s="18">
        <f>IF(H143&gt;0,ROUND(E143/H143*100,1),0)</f>
        <v>100.8</v>
      </c>
      <c r="K143" t="s">
        <v>170</v>
      </c>
      <c r="L143" t="s">
        <v>170</v>
      </c>
      <c r="M143" t="s">
        <v>182</v>
      </c>
    </row>
    <row r="144" spans="1:13" ht="15.75">
      <c r="A144" s="15"/>
      <c r="B144" s="61" t="s">
        <v>183</v>
      </c>
      <c r="C144" s="17" t="s">
        <v>37</v>
      </c>
      <c r="D144" s="18"/>
      <c r="E144" s="18">
        <v>35389.4</v>
      </c>
      <c r="F144" s="18"/>
      <c r="G144" s="18">
        <f t="shared" si="13"/>
        <v>35389.4</v>
      </c>
      <c r="H144" s="18"/>
      <c r="I144" s="18">
        <f>IF(H144&gt;0,ROUND(E144/H144*100,1),0)</f>
        <v>0</v>
      </c>
      <c r="K144" t="s">
        <v>170</v>
      </c>
      <c r="L144" t="s">
        <v>170</v>
      </c>
      <c r="M144" t="s">
        <v>184</v>
      </c>
    </row>
    <row r="145" spans="1:13" ht="15.75">
      <c r="A145" s="15"/>
      <c r="B145" s="80" t="s">
        <v>185</v>
      </c>
      <c r="C145" s="17" t="s">
        <v>37</v>
      </c>
      <c r="D145" s="18"/>
      <c r="E145" s="18">
        <v>7539.1239999999998</v>
      </c>
      <c r="F145" s="18"/>
      <c r="G145" s="18">
        <f t="shared" si="13"/>
        <v>7539.1239999999998</v>
      </c>
      <c r="H145" s="18">
        <v>2615</v>
      </c>
      <c r="I145" s="18">
        <f>IF(H145&gt;0,ROUND(E145/H145*100,1),0)</f>
        <v>288.3</v>
      </c>
      <c r="K145" t="s">
        <v>170</v>
      </c>
      <c r="L145" t="s">
        <v>170</v>
      </c>
      <c r="M145" t="s">
        <v>186</v>
      </c>
    </row>
    <row r="146" spans="1:13" ht="18" customHeight="1">
      <c r="A146" s="15"/>
      <c r="B146" s="15" t="s">
        <v>163</v>
      </c>
      <c r="C146" s="17" t="s">
        <v>37</v>
      </c>
      <c r="D146" s="18"/>
      <c r="E146" s="18"/>
      <c r="F146" s="18"/>
      <c r="G146" s="18">
        <f t="shared" si="13"/>
        <v>0</v>
      </c>
      <c r="H146" s="18"/>
      <c r="I146" s="18"/>
      <c r="K146" t="s">
        <v>170</v>
      </c>
      <c r="L146" t="s">
        <v>170</v>
      </c>
    </row>
    <row r="147" spans="1:13" ht="15.75">
      <c r="A147" s="15"/>
      <c r="B147" s="30" t="s">
        <v>187</v>
      </c>
      <c r="C147" s="17" t="s">
        <v>37</v>
      </c>
      <c r="D147" s="18"/>
      <c r="E147" s="18">
        <v>0</v>
      </c>
      <c r="F147" s="18"/>
      <c r="G147" s="18">
        <f t="shared" si="13"/>
        <v>0</v>
      </c>
      <c r="H147" s="18">
        <v>75094</v>
      </c>
      <c r="I147" s="18">
        <f>IF(H147&gt;0,ROUND(E147/H147*100,1),0)</f>
        <v>0</v>
      </c>
      <c r="K147" t="s">
        <v>170</v>
      </c>
    </row>
    <row r="148" spans="1:13" ht="18.75" hidden="1" customHeight="1" outlineLevel="1">
      <c r="A148" s="15" t="s">
        <v>188</v>
      </c>
      <c r="B148" s="16" t="s">
        <v>189</v>
      </c>
      <c r="C148" s="17" t="s">
        <v>37</v>
      </c>
      <c r="D148" s="18"/>
      <c r="E148" s="18"/>
      <c r="F148" s="18"/>
      <c r="G148" s="18">
        <f t="shared" si="13"/>
        <v>0</v>
      </c>
      <c r="H148" s="18">
        <v>183167.71900000001</v>
      </c>
      <c r="I148" s="18">
        <f>IF(H148&gt;0,ROUND(E148/H148*100,1),0)</f>
        <v>0</v>
      </c>
      <c r="K148" t="s">
        <v>170</v>
      </c>
    </row>
    <row r="149" spans="1:13" ht="15.75" collapsed="1">
      <c r="A149" s="15" t="s">
        <v>213</v>
      </c>
      <c r="B149" s="52" t="s">
        <v>190</v>
      </c>
      <c r="C149" s="197" t="s">
        <v>37</v>
      </c>
      <c r="D149" s="6"/>
      <c r="E149" s="6">
        <v>429749.08500000002</v>
      </c>
      <c r="F149" s="6"/>
      <c r="G149" s="6"/>
      <c r="H149" s="6">
        <v>183167.7</v>
      </c>
      <c r="I149" s="6">
        <f>ROUND(E149/H149*100,1)</f>
        <v>234.6</v>
      </c>
      <c r="K149" t="s">
        <v>170</v>
      </c>
      <c r="L149" t="s">
        <v>191</v>
      </c>
    </row>
    <row r="150" spans="1:13" ht="15.75" hidden="1" outlineLevel="1">
      <c r="A150" s="15"/>
      <c r="B150" s="196" t="s">
        <v>12</v>
      </c>
      <c r="C150" s="197" t="s">
        <v>37</v>
      </c>
      <c r="D150" s="6"/>
      <c r="E150" s="6"/>
      <c r="F150" s="6"/>
      <c r="G150" s="6"/>
      <c r="H150" s="6"/>
      <c r="I150" s="6"/>
      <c r="K150" t="s">
        <v>170</v>
      </c>
    </row>
    <row r="151" spans="1:13" ht="15.75" hidden="1" outlineLevel="1">
      <c r="A151" s="15"/>
      <c r="B151" s="52" t="s">
        <v>192</v>
      </c>
      <c r="C151" s="197" t="s">
        <v>37</v>
      </c>
      <c r="D151" s="6"/>
      <c r="E151" s="6"/>
      <c r="F151" s="6"/>
      <c r="G151" s="6"/>
      <c r="H151" s="6"/>
      <c r="I151" s="6"/>
      <c r="K151" t="s">
        <v>170</v>
      </c>
    </row>
    <row r="152" spans="1:13" ht="15.75" hidden="1" outlineLevel="1">
      <c r="A152" s="15"/>
      <c r="B152" s="52" t="s">
        <v>193</v>
      </c>
      <c r="C152" s="197" t="s">
        <v>37</v>
      </c>
      <c r="D152" s="6"/>
      <c r="E152" s="6"/>
      <c r="F152" s="6"/>
      <c r="G152" s="6"/>
      <c r="H152" s="6">
        <v>286564.97600000002</v>
      </c>
      <c r="I152" s="6">
        <f>ROUND(E152/H152*100,1)</f>
        <v>0</v>
      </c>
      <c r="K152" t="s">
        <v>170</v>
      </c>
    </row>
    <row r="153" spans="1:13" ht="15.75" collapsed="1">
      <c r="A153" s="15" t="s">
        <v>214</v>
      </c>
      <c r="B153" s="52" t="s">
        <v>194</v>
      </c>
      <c r="C153" s="197" t="s">
        <v>37</v>
      </c>
      <c r="D153" s="6"/>
      <c r="E153" s="6">
        <v>270308.46600000001</v>
      </c>
      <c r="F153" s="6"/>
      <c r="G153" s="6"/>
      <c r="H153" s="6">
        <v>286565</v>
      </c>
      <c r="I153" s="6">
        <f>ROUND(E153/H153*100,1)</f>
        <v>94.3</v>
      </c>
      <c r="K153" t="s">
        <v>170</v>
      </c>
      <c r="L153" t="s">
        <v>191</v>
      </c>
    </row>
    <row r="154" spans="1:13" ht="15.75" hidden="1" outlineLevel="1">
      <c r="A154" s="38"/>
      <c r="B154" s="38" t="s">
        <v>12</v>
      </c>
      <c r="C154" s="39"/>
      <c r="D154" s="40"/>
      <c r="E154" s="40"/>
      <c r="F154" s="40"/>
      <c r="G154" s="40"/>
      <c r="H154" s="41"/>
      <c r="I154" s="42"/>
    </row>
    <row r="155" spans="1:13" ht="15.75" hidden="1" outlineLevel="1">
      <c r="A155" s="38"/>
      <c r="B155" s="43" t="s">
        <v>195</v>
      </c>
      <c r="C155" s="39" t="s">
        <v>37</v>
      </c>
      <c r="D155" s="40"/>
      <c r="E155" s="40"/>
      <c r="F155" s="40"/>
      <c r="G155" s="40"/>
      <c r="H155" s="41"/>
      <c r="I155" s="40"/>
    </row>
    <row r="156" spans="1:13" ht="15.75" hidden="1" outlineLevel="1">
      <c r="A156" s="38"/>
      <c r="B156" s="43" t="s">
        <v>193</v>
      </c>
      <c r="C156" s="39" t="s">
        <v>37</v>
      </c>
      <c r="D156" s="40"/>
      <c r="E156" s="40"/>
      <c r="F156" s="40"/>
      <c r="G156" s="40"/>
      <c r="H156" s="41"/>
      <c r="I156" s="40" t="e">
        <f>ROUND(E156/H156*100,1)</f>
        <v>#DIV/0!</v>
      </c>
    </row>
    <row r="157" spans="1:13" ht="15.75" hidden="1" outlineLevel="1">
      <c r="A157" s="38"/>
      <c r="B157" s="43" t="s">
        <v>196</v>
      </c>
      <c r="C157" s="39" t="s">
        <v>37</v>
      </c>
      <c r="D157" s="40"/>
      <c r="E157" s="40"/>
      <c r="F157" s="40"/>
      <c r="G157" s="40"/>
      <c r="H157" s="41"/>
      <c r="I157" s="40" t="e">
        <f>ROUND(E157/H157*100,1)</f>
        <v>#DIV/0!</v>
      </c>
    </row>
    <row r="158" spans="1:13" ht="15.75" hidden="1" outlineLevel="1">
      <c r="A158" s="38"/>
      <c r="B158" s="43" t="s">
        <v>197</v>
      </c>
      <c r="C158" s="39" t="s">
        <v>37</v>
      </c>
      <c r="D158" s="40"/>
      <c r="E158" s="40">
        <v>0</v>
      </c>
      <c r="F158" s="40"/>
      <c r="G158" s="40"/>
      <c r="H158" s="41"/>
      <c r="I158" s="40" t="e">
        <f>ROUND(E158/H158*100,1)</f>
        <v>#DIV/0!</v>
      </c>
    </row>
    <row r="159" spans="1:13" ht="15.75" hidden="1" outlineLevel="1">
      <c r="A159" s="38"/>
      <c r="B159" s="43" t="s">
        <v>198</v>
      </c>
      <c r="C159" s="39" t="s">
        <v>37</v>
      </c>
      <c r="D159" s="40"/>
      <c r="E159" s="40"/>
      <c r="F159" s="40"/>
      <c r="G159" s="40"/>
      <c r="H159" s="41"/>
      <c r="I159" s="40" t="e">
        <f>ROUND(E159/H159*100,1)</f>
        <v>#DIV/0!</v>
      </c>
    </row>
    <row r="160" spans="1:13" ht="15.75" hidden="1" outlineLevel="1">
      <c r="A160" s="38"/>
      <c r="B160" s="43" t="s">
        <v>199</v>
      </c>
      <c r="C160" s="39" t="s">
        <v>37</v>
      </c>
      <c r="D160" s="40"/>
      <c r="E160" s="40"/>
      <c r="F160" s="40"/>
      <c r="G160" s="40"/>
      <c r="H160" s="41"/>
      <c r="I160" s="40" t="e">
        <f>ROUND(E160/H160*100,1)</f>
        <v>#DIV/0!</v>
      </c>
    </row>
    <row r="161" spans="1:9" ht="68.25" customHeight="1" collapsed="1">
      <c r="E161" s="11"/>
      <c r="H161" s="44"/>
    </row>
    <row r="162" spans="1:9" ht="37.5">
      <c r="A162" s="32"/>
      <c r="B162" s="45" t="s">
        <v>221</v>
      </c>
      <c r="C162" s="46"/>
      <c r="D162" s="46"/>
      <c r="E162" s="46"/>
      <c r="F162" s="46"/>
      <c r="G162" s="47" t="s">
        <v>200</v>
      </c>
      <c r="H162" s="46"/>
      <c r="I162" s="46"/>
    </row>
    <row r="163" spans="1:9" ht="18.75">
      <c r="A163" s="32"/>
      <c r="B163" s="48"/>
      <c r="C163" s="48"/>
      <c r="D163" s="48"/>
      <c r="E163" s="48"/>
      <c r="F163" s="48"/>
      <c r="G163" s="48"/>
      <c r="H163" s="48"/>
      <c r="I163" s="48"/>
    </row>
    <row r="164" spans="1:9" ht="18.75">
      <c r="A164" s="32"/>
      <c r="B164" s="46" t="s">
        <v>201</v>
      </c>
      <c r="C164" s="46"/>
      <c r="D164" s="46"/>
      <c r="E164" s="46"/>
      <c r="F164" s="48"/>
      <c r="G164" s="46" t="s">
        <v>202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">
        <v>206</v>
      </c>
      <c r="C166" s="46"/>
      <c r="D166" s="46"/>
      <c r="E166" s="46"/>
      <c r="F166" s="48"/>
      <c r="G166" s="46" t="s">
        <v>220</v>
      </c>
      <c r="H166" s="46"/>
      <c r="I166" s="48"/>
    </row>
    <row r="167" spans="1:9" ht="18.75">
      <c r="A167" s="32"/>
      <c r="B167" s="46"/>
      <c r="C167" s="46"/>
      <c r="D167" s="46"/>
      <c r="E167" s="46"/>
      <c r="F167" s="48"/>
      <c r="G167" s="46"/>
      <c r="H167" s="46"/>
      <c r="I167" s="48"/>
    </row>
    <row r="168" spans="1:9" ht="18.75">
      <c r="A168" s="32"/>
      <c r="B168" s="46" t="s">
        <v>215</v>
      </c>
      <c r="C168" s="46"/>
      <c r="D168" s="46"/>
      <c r="E168" s="46"/>
      <c r="F168" s="48"/>
      <c r="G168" s="46" t="s">
        <v>251</v>
      </c>
      <c r="H168" s="46"/>
      <c r="I168" s="48"/>
    </row>
    <row r="169" spans="1:9" ht="18.75">
      <c r="A169" s="32"/>
      <c r="B169" s="46"/>
      <c r="C169" s="46"/>
      <c r="D169" s="46"/>
      <c r="E169" s="46"/>
      <c r="F169" s="48"/>
      <c r="G169" s="46"/>
      <c r="H169" s="46"/>
      <c r="I169" s="48"/>
    </row>
    <row r="170" spans="1:9" ht="18.75">
      <c r="A170" s="32"/>
      <c r="B170" s="46"/>
      <c r="C170" s="46"/>
      <c r="D170" s="46"/>
      <c r="E170" s="46"/>
      <c r="F170" s="48"/>
      <c r="G170" s="46"/>
      <c r="H170" s="46"/>
      <c r="I170" s="48"/>
    </row>
    <row r="171" spans="1:9" ht="15.75">
      <c r="B171" s="49"/>
      <c r="C171" s="49"/>
      <c r="D171" s="49"/>
      <c r="E171" s="49"/>
      <c r="G171" s="49"/>
    </row>
    <row r="172" spans="1:9" ht="18.75">
      <c r="B172" s="46"/>
      <c r="C172" s="49"/>
      <c r="D172" s="49"/>
      <c r="E172" s="49"/>
      <c r="G172" s="49"/>
    </row>
    <row r="173" spans="1:9" ht="15.75">
      <c r="B173" s="49"/>
      <c r="C173" s="49"/>
      <c r="D173" s="49"/>
      <c r="E173" s="49"/>
      <c r="G173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.19685039370078741" top="0.51181102362204722" bottom="0.15748031496062992" header="0.15748031496062992" footer="0.11811023622047245"/>
  <pageSetup paperSize="9" scale="70" orientation="portrait" blackAndWhite="1" r:id="rId1"/>
  <headerFooter alignWithMargins="0"/>
  <rowBreaks count="1" manualBreakCount="1">
    <brk id="93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2"/>
  <sheetViews>
    <sheetView showZeros="0" view="pageBreakPreview" topLeftCell="B1" zoomScale="90" zoomScaleNormal="100" zoomScaleSheetLayoutView="90" workbookViewId="0">
      <pane xSplit="1" topLeftCell="C1" activePane="topRight" state="frozen"/>
      <selection activeCell="B1" sqref="B1"/>
      <selection pane="topRight" sqref="A1:I1"/>
    </sheetView>
  </sheetViews>
  <sheetFormatPr defaultRowHeight="12.75" outlineLevelRow="1" outlineLevelCol="1"/>
  <cols>
    <col min="1" max="1" width="3.85546875" hidden="1" customWidth="1" outlineLevel="1"/>
    <col min="2" max="2" width="56" customWidth="1" collapsed="1"/>
    <col min="3" max="3" width="10" customWidth="1"/>
    <col min="4" max="4" width="11.85546875" customWidth="1"/>
    <col min="5" max="5" width="12.42578125" customWidth="1"/>
    <col min="6" max="6" width="12.140625" customWidth="1"/>
    <col min="7" max="7" width="13.85546875" customWidth="1"/>
    <col min="8" max="8" width="12.42578125" customWidth="1"/>
    <col min="9" max="9" width="12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3" width="9.140625" hidden="1" customWidth="1" outlineLevel="1"/>
    <col min="14" max="14" width="1" hidden="1" customWidth="1" outlineLevel="1"/>
    <col min="15" max="15" width="9.140625" collapsed="1"/>
    <col min="257" max="257" width="3.85546875" bestFit="1" customWidth="1"/>
    <col min="258" max="258" width="61.5703125" customWidth="1"/>
    <col min="259" max="259" width="10" customWidth="1"/>
    <col min="260" max="260" width="11.85546875" customWidth="1"/>
    <col min="261" max="261" width="12.42578125" customWidth="1"/>
    <col min="262" max="262" width="9.7109375" customWidth="1"/>
    <col min="263" max="263" width="12" customWidth="1"/>
    <col min="264" max="264" width="13.28515625" customWidth="1"/>
    <col min="265" max="265" width="11.140625" customWidth="1"/>
    <col min="266" max="270" width="0" hidden="1" customWidth="1"/>
    <col min="513" max="513" width="3.85546875" bestFit="1" customWidth="1"/>
    <col min="514" max="514" width="61.5703125" customWidth="1"/>
    <col min="515" max="515" width="10" customWidth="1"/>
    <col min="516" max="516" width="11.85546875" customWidth="1"/>
    <col min="517" max="517" width="12.42578125" customWidth="1"/>
    <col min="518" max="518" width="9.7109375" customWidth="1"/>
    <col min="519" max="519" width="12" customWidth="1"/>
    <col min="520" max="520" width="13.28515625" customWidth="1"/>
    <col min="521" max="521" width="11.140625" customWidth="1"/>
    <col min="522" max="526" width="0" hidden="1" customWidth="1"/>
    <col min="769" max="769" width="3.85546875" bestFit="1" customWidth="1"/>
    <col min="770" max="770" width="61.5703125" customWidth="1"/>
    <col min="771" max="771" width="10" customWidth="1"/>
    <col min="772" max="772" width="11.85546875" customWidth="1"/>
    <col min="773" max="773" width="12.42578125" customWidth="1"/>
    <col min="774" max="774" width="9.7109375" customWidth="1"/>
    <col min="775" max="775" width="12" customWidth="1"/>
    <col min="776" max="776" width="13.28515625" customWidth="1"/>
    <col min="777" max="777" width="11.140625" customWidth="1"/>
    <col min="778" max="782" width="0" hidden="1" customWidth="1"/>
    <col min="1025" max="1025" width="3.85546875" bestFit="1" customWidth="1"/>
    <col min="1026" max="1026" width="61.5703125" customWidth="1"/>
    <col min="1027" max="1027" width="10" customWidth="1"/>
    <col min="1028" max="1028" width="11.85546875" customWidth="1"/>
    <col min="1029" max="1029" width="12.42578125" customWidth="1"/>
    <col min="1030" max="1030" width="9.7109375" customWidth="1"/>
    <col min="1031" max="1031" width="12" customWidth="1"/>
    <col min="1032" max="1032" width="13.28515625" customWidth="1"/>
    <col min="1033" max="1033" width="11.140625" customWidth="1"/>
    <col min="1034" max="1038" width="0" hidden="1" customWidth="1"/>
    <col min="1281" max="1281" width="3.85546875" bestFit="1" customWidth="1"/>
    <col min="1282" max="1282" width="61.5703125" customWidth="1"/>
    <col min="1283" max="1283" width="10" customWidth="1"/>
    <col min="1284" max="1284" width="11.85546875" customWidth="1"/>
    <col min="1285" max="1285" width="12.42578125" customWidth="1"/>
    <col min="1286" max="1286" width="9.7109375" customWidth="1"/>
    <col min="1287" max="1287" width="12" customWidth="1"/>
    <col min="1288" max="1288" width="13.28515625" customWidth="1"/>
    <col min="1289" max="1289" width="11.140625" customWidth="1"/>
    <col min="1290" max="1294" width="0" hidden="1" customWidth="1"/>
    <col min="1537" max="1537" width="3.85546875" bestFit="1" customWidth="1"/>
    <col min="1538" max="1538" width="61.5703125" customWidth="1"/>
    <col min="1539" max="1539" width="10" customWidth="1"/>
    <col min="1540" max="1540" width="11.85546875" customWidth="1"/>
    <col min="1541" max="1541" width="12.42578125" customWidth="1"/>
    <col min="1542" max="1542" width="9.7109375" customWidth="1"/>
    <col min="1543" max="1543" width="12" customWidth="1"/>
    <col min="1544" max="1544" width="13.28515625" customWidth="1"/>
    <col min="1545" max="1545" width="11.140625" customWidth="1"/>
    <col min="1546" max="1550" width="0" hidden="1" customWidth="1"/>
    <col min="1793" max="1793" width="3.85546875" bestFit="1" customWidth="1"/>
    <col min="1794" max="1794" width="61.5703125" customWidth="1"/>
    <col min="1795" max="1795" width="10" customWidth="1"/>
    <col min="1796" max="1796" width="11.85546875" customWidth="1"/>
    <col min="1797" max="1797" width="12.42578125" customWidth="1"/>
    <col min="1798" max="1798" width="9.7109375" customWidth="1"/>
    <col min="1799" max="1799" width="12" customWidth="1"/>
    <col min="1800" max="1800" width="13.28515625" customWidth="1"/>
    <col min="1801" max="1801" width="11.140625" customWidth="1"/>
    <col min="1802" max="1806" width="0" hidden="1" customWidth="1"/>
    <col min="2049" max="2049" width="3.85546875" bestFit="1" customWidth="1"/>
    <col min="2050" max="2050" width="61.5703125" customWidth="1"/>
    <col min="2051" max="2051" width="10" customWidth="1"/>
    <col min="2052" max="2052" width="11.85546875" customWidth="1"/>
    <col min="2053" max="2053" width="12.42578125" customWidth="1"/>
    <col min="2054" max="2054" width="9.7109375" customWidth="1"/>
    <col min="2055" max="2055" width="12" customWidth="1"/>
    <col min="2056" max="2056" width="13.28515625" customWidth="1"/>
    <col min="2057" max="2057" width="11.140625" customWidth="1"/>
    <col min="2058" max="2062" width="0" hidden="1" customWidth="1"/>
    <col min="2305" max="2305" width="3.85546875" bestFit="1" customWidth="1"/>
    <col min="2306" max="2306" width="61.5703125" customWidth="1"/>
    <col min="2307" max="2307" width="10" customWidth="1"/>
    <col min="2308" max="2308" width="11.85546875" customWidth="1"/>
    <col min="2309" max="2309" width="12.42578125" customWidth="1"/>
    <col min="2310" max="2310" width="9.7109375" customWidth="1"/>
    <col min="2311" max="2311" width="12" customWidth="1"/>
    <col min="2312" max="2312" width="13.28515625" customWidth="1"/>
    <col min="2313" max="2313" width="11.140625" customWidth="1"/>
    <col min="2314" max="2318" width="0" hidden="1" customWidth="1"/>
    <col min="2561" max="2561" width="3.85546875" bestFit="1" customWidth="1"/>
    <col min="2562" max="2562" width="61.5703125" customWidth="1"/>
    <col min="2563" max="2563" width="10" customWidth="1"/>
    <col min="2564" max="2564" width="11.85546875" customWidth="1"/>
    <col min="2565" max="2565" width="12.42578125" customWidth="1"/>
    <col min="2566" max="2566" width="9.7109375" customWidth="1"/>
    <col min="2567" max="2567" width="12" customWidth="1"/>
    <col min="2568" max="2568" width="13.28515625" customWidth="1"/>
    <col min="2569" max="2569" width="11.140625" customWidth="1"/>
    <col min="2570" max="2574" width="0" hidden="1" customWidth="1"/>
    <col min="2817" max="2817" width="3.85546875" bestFit="1" customWidth="1"/>
    <col min="2818" max="2818" width="61.5703125" customWidth="1"/>
    <col min="2819" max="2819" width="10" customWidth="1"/>
    <col min="2820" max="2820" width="11.85546875" customWidth="1"/>
    <col min="2821" max="2821" width="12.42578125" customWidth="1"/>
    <col min="2822" max="2822" width="9.7109375" customWidth="1"/>
    <col min="2823" max="2823" width="12" customWidth="1"/>
    <col min="2824" max="2824" width="13.28515625" customWidth="1"/>
    <col min="2825" max="2825" width="11.140625" customWidth="1"/>
    <col min="2826" max="2830" width="0" hidden="1" customWidth="1"/>
    <col min="3073" max="3073" width="3.85546875" bestFit="1" customWidth="1"/>
    <col min="3074" max="3074" width="61.5703125" customWidth="1"/>
    <col min="3075" max="3075" width="10" customWidth="1"/>
    <col min="3076" max="3076" width="11.85546875" customWidth="1"/>
    <col min="3077" max="3077" width="12.42578125" customWidth="1"/>
    <col min="3078" max="3078" width="9.7109375" customWidth="1"/>
    <col min="3079" max="3079" width="12" customWidth="1"/>
    <col min="3080" max="3080" width="13.28515625" customWidth="1"/>
    <col min="3081" max="3081" width="11.140625" customWidth="1"/>
    <col min="3082" max="3086" width="0" hidden="1" customWidth="1"/>
    <col min="3329" max="3329" width="3.85546875" bestFit="1" customWidth="1"/>
    <col min="3330" max="3330" width="61.5703125" customWidth="1"/>
    <col min="3331" max="3331" width="10" customWidth="1"/>
    <col min="3332" max="3332" width="11.85546875" customWidth="1"/>
    <col min="3333" max="3333" width="12.42578125" customWidth="1"/>
    <col min="3334" max="3334" width="9.7109375" customWidth="1"/>
    <col min="3335" max="3335" width="12" customWidth="1"/>
    <col min="3336" max="3336" width="13.28515625" customWidth="1"/>
    <col min="3337" max="3337" width="11.140625" customWidth="1"/>
    <col min="3338" max="3342" width="0" hidden="1" customWidth="1"/>
    <col min="3585" max="3585" width="3.85546875" bestFit="1" customWidth="1"/>
    <col min="3586" max="3586" width="61.5703125" customWidth="1"/>
    <col min="3587" max="3587" width="10" customWidth="1"/>
    <col min="3588" max="3588" width="11.85546875" customWidth="1"/>
    <col min="3589" max="3589" width="12.42578125" customWidth="1"/>
    <col min="3590" max="3590" width="9.7109375" customWidth="1"/>
    <col min="3591" max="3591" width="12" customWidth="1"/>
    <col min="3592" max="3592" width="13.28515625" customWidth="1"/>
    <col min="3593" max="3593" width="11.140625" customWidth="1"/>
    <col min="3594" max="3598" width="0" hidden="1" customWidth="1"/>
    <col min="3841" max="3841" width="3.85546875" bestFit="1" customWidth="1"/>
    <col min="3842" max="3842" width="61.5703125" customWidth="1"/>
    <col min="3843" max="3843" width="10" customWidth="1"/>
    <col min="3844" max="3844" width="11.85546875" customWidth="1"/>
    <col min="3845" max="3845" width="12.42578125" customWidth="1"/>
    <col min="3846" max="3846" width="9.7109375" customWidth="1"/>
    <col min="3847" max="3847" width="12" customWidth="1"/>
    <col min="3848" max="3848" width="13.28515625" customWidth="1"/>
    <col min="3849" max="3849" width="11.140625" customWidth="1"/>
    <col min="3850" max="3854" width="0" hidden="1" customWidth="1"/>
    <col min="4097" max="4097" width="3.85546875" bestFit="1" customWidth="1"/>
    <col min="4098" max="4098" width="61.5703125" customWidth="1"/>
    <col min="4099" max="4099" width="10" customWidth="1"/>
    <col min="4100" max="4100" width="11.85546875" customWidth="1"/>
    <col min="4101" max="4101" width="12.42578125" customWidth="1"/>
    <col min="4102" max="4102" width="9.7109375" customWidth="1"/>
    <col min="4103" max="4103" width="12" customWidth="1"/>
    <col min="4104" max="4104" width="13.28515625" customWidth="1"/>
    <col min="4105" max="4105" width="11.140625" customWidth="1"/>
    <col min="4106" max="4110" width="0" hidden="1" customWidth="1"/>
    <col min="4353" max="4353" width="3.85546875" bestFit="1" customWidth="1"/>
    <col min="4354" max="4354" width="61.5703125" customWidth="1"/>
    <col min="4355" max="4355" width="10" customWidth="1"/>
    <col min="4356" max="4356" width="11.85546875" customWidth="1"/>
    <col min="4357" max="4357" width="12.42578125" customWidth="1"/>
    <col min="4358" max="4358" width="9.7109375" customWidth="1"/>
    <col min="4359" max="4359" width="12" customWidth="1"/>
    <col min="4360" max="4360" width="13.28515625" customWidth="1"/>
    <col min="4361" max="4361" width="11.140625" customWidth="1"/>
    <col min="4362" max="4366" width="0" hidden="1" customWidth="1"/>
    <col min="4609" max="4609" width="3.85546875" bestFit="1" customWidth="1"/>
    <col min="4610" max="4610" width="61.5703125" customWidth="1"/>
    <col min="4611" max="4611" width="10" customWidth="1"/>
    <col min="4612" max="4612" width="11.85546875" customWidth="1"/>
    <col min="4613" max="4613" width="12.42578125" customWidth="1"/>
    <col min="4614" max="4614" width="9.7109375" customWidth="1"/>
    <col min="4615" max="4615" width="12" customWidth="1"/>
    <col min="4616" max="4616" width="13.28515625" customWidth="1"/>
    <col min="4617" max="4617" width="11.140625" customWidth="1"/>
    <col min="4618" max="4622" width="0" hidden="1" customWidth="1"/>
    <col min="4865" max="4865" width="3.85546875" bestFit="1" customWidth="1"/>
    <col min="4866" max="4866" width="61.5703125" customWidth="1"/>
    <col min="4867" max="4867" width="10" customWidth="1"/>
    <col min="4868" max="4868" width="11.85546875" customWidth="1"/>
    <col min="4869" max="4869" width="12.42578125" customWidth="1"/>
    <col min="4870" max="4870" width="9.7109375" customWidth="1"/>
    <col min="4871" max="4871" width="12" customWidth="1"/>
    <col min="4872" max="4872" width="13.28515625" customWidth="1"/>
    <col min="4873" max="4873" width="11.140625" customWidth="1"/>
    <col min="4874" max="4878" width="0" hidden="1" customWidth="1"/>
    <col min="5121" max="5121" width="3.85546875" bestFit="1" customWidth="1"/>
    <col min="5122" max="5122" width="61.5703125" customWidth="1"/>
    <col min="5123" max="5123" width="10" customWidth="1"/>
    <col min="5124" max="5124" width="11.85546875" customWidth="1"/>
    <col min="5125" max="5125" width="12.42578125" customWidth="1"/>
    <col min="5126" max="5126" width="9.7109375" customWidth="1"/>
    <col min="5127" max="5127" width="12" customWidth="1"/>
    <col min="5128" max="5128" width="13.28515625" customWidth="1"/>
    <col min="5129" max="5129" width="11.140625" customWidth="1"/>
    <col min="5130" max="5134" width="0" hidden="1" customWidth="1"/>
    <col min="5377" max="5377" width="3.85546875" bestFit="1" customWidth="1"/>
    <col min="5378" max="5378" width="61.5703125" customWidth="1"/>
    <col min="5379" max="5379" width="10" customWidth="1"/>
    <col min="5380" max="5380" width="11.85546875" customWidth="1"/>
    <col min="5381" max="5381" width="12.42578125" customWidth="1"/>
    <col min="5382" max="5382" width="9.7109375" customWidth="1"/>
    <col min="5383" max="5383" width="12" customWidth="1"/>
    <col min="5384" max="5384" width="13.28515625" customWidth="1"/>
    <col min="5385" max="5385" width="11.140625" customWidth="1"/>
    <col min="5386" max="5390" width="0" hidden="1" customWidth="1"/>
    <col min="5633" max="5633" width="3.85546875" bestFit="1" customWidth="1"/>
    <col min="5634" max="5634" width="61.5703125" customWidth="1"/>
    <col min="5635" max="5635" width="10" customWidth="1"/>
    <col min="5636" max="5636" width="11.85546875" customWidth="1"/>
    <col min="5637" max="5637" width="12.42578125" customWidth="1"/>
    <col min="5638" max="5638" width="9.7109375" customWidth="1"/>
    <col min="5639" max="5639" width="12" customWidth="1"/>
    <col min="5640" max="5640" width="13.28515625" customWidth="1"/>
    <col min="5641" max="5641" width="11.140625" customWidth="1"/>
    <col min="5642" max="5646" width="0" hidden="1" customWidth="1"/>
    <col min="5889" max="5889" width="3.85546875" bestFit="1" customWidth="1"/>
    <col min="5890" max="5890" width="61.5703125" customWidth="1"/>
    <col min="5891" max="5891" width="10" customWidth="1"/>
    <col min="5892" max="5892" width="11.85546875" customWidth="1"/>
    <col min="5893" max="5893" width="12.42578125" customWidth="1"/>
    <col min="5894" max="5894" width="9.7109375" customWidth="1"/>
    <col min="5895" max="5895" width="12" customWidth="1"/>
    <col min="5896" max="5896" width="13.28515625" customWidth="1"/>
    <col min="5897" max="5897" width="11.140625" customWidth="1"/>
    <col min="5898" max="5902" width="0" hidden="1" customWidth="1"/>
    <col min="6145" max="6145" width="3.85546875" bestFit="1" customWidth="1"/>
    <col min="6146" max="6146" width="61.5703125" customWidth="1"/>
    <col min="6147" max="6147" width="10" customWidth="1"/>
    <col min="6148" max="6148" width="11.85546875" customWidth="1"/>
    <col min="6149" max="6149" width="12.42578125" customWidth="1"/>
    <col min="6150" max="6150" width="9.7109375" customWidth="1"/>
    <col min="6151" max="6151" width="12" customWidth="1"/>
    <col min="6152" max="6152" width="13.28515625" customWidth="1"/>
    <col min="6153" max="6153" width="11.140625" customWidth="1"/>
    <col min="6154" max="6158" width="0" hidden="1" customWidth="1"/>
    <col min="6401" max="6401" width="3.85546875" bestFit="1" customWidth="1"/>
    <col min="6402" max="6402" width="61.5703125" customWidth="1"/>
    <col min="6403" max="6403" width="10" customWidth="1"/>
    <col min="6404" max="6404" width="11.85546875" customWidth="1"/>
    <col min="6405" max="6405" width="12.42578125" customWidth="1"/>
    <col min="6406" max="6406" width="9.7109375" customWidth="1"/>
    <col min="6407" max="6407" width="12" customWidth="1"/>
    <col min="6408" max="6408" width="13.28515625" customWidth="1"/>
    <col min="6409" max="6409" width="11.140625" customWidth="1"/>
    <col min="6410" max="6414" width="0" hidden="1" customWidth="1"/>
    <col min="6657" max="6657" width="3.85546875" bestFit="1" customWidth="1"/>
    <col min="6658" max="6658" width="61.5703125" customWidth="1"/>
    <col min="6659" max="6659" width="10" customWidth="1"/>
    <col min="6660" max="6660" width="11.85546875" customWidth="1"/>
    <col min="6661" max="6661" width="12.42578125" customWidth="1"/>
    <col min="6662" max="6662" width="9.7109375" customWidth="1"/>
    <col min="6663" max="6663" width="12" customWidth="1"/>
    <col min="6664" max="6664" width="13.28515625" customWidth="1"/>
    <col min="6665" max="6665" width="11.140625" customWidth="1"/>
    <col min="6666" max="6670" width="0" hidden="1" customWidth="1"/>
    <col min="6913" max="6913" width="3.85546875" bestFit="1" customWidth="1"/>
    <col min="6914" max="6914" width="61.5703125" customWidth="1"/>
    <col min="6915" max="6915" width="10" customWidth="1"/>
    <col min="6916" max="6916" width="11.85546875" customWidth="1"/>
    <col min="6917" max="6917" width="12.42578125" customWidth="1"/>
    <col min="6918" max="6918" width="9.7109375" customWidth="1"/>
    <col min="6919" max="6919" width="12" customWidth="1"/>
    <col min="6920" max="6920" width="13.28515625" customWidth="1"/>
    <col min="6921" max="6921" width="11.140625" customWidth="1"/>
    <col min="6922" max="6926" width="0" hidden="1" customWidth="1"/>
    <col min="7169" max="7169" width="3.85546875" bestFit="1" customWidth="1"/>
    <col min="7170" max="7170" width="61.5703125" customWidth="1"/>
    <col min="7171" max="7171" width="10" customWidth="1"/>
    <col min="7172" max="7172" width="11.85546875" customWidth="1"/>
    <col min="7173" max="7173" width="12.42578125" customWidth="1"/>
    <col min="7174" max="7174" width="9.7109375" customWidth="1"/>
    <col min="7175" max="7175" width="12" customWidth="1"/>
    <col min="7176" max="7176" width="13.28515625" customWidth="1"/>
    <col min="7177" max="7177" width="11.140625" customWidth="1"/>
    <col min="7178" max="7182" width="0" hidden="1" customWidth="1"/>
    <col min="7425" max="7425" width="3.85546875" bestFit="1" customWidth="1"/>
    <col min="7426" max="7426" width="61.5703125" customWidth="1"/>
    <col min="7427" max="7427" width="10" customWidth="1"/>
    <col min="7428" max="7428" width="11.85546875" customWidth="1"/>
    <col min="7429" max="7429" width="12.42578125" customWidth="1"/>
    <col min="7430" max="7430" width="9.7109375" customWidth="1"/>
    <col min="7431" max="7431" width="12" customWidth="1"/>
    <col min="7432" max="7432" width="13.28515625" customWidth="1"/>
    <col min="7433" max="7433" width="11.140625" customWidth="1"/>
    <col min="7434" max="7438" width="0" hidden="1" customWidth="1"/>
    <col min="7681" max="7681" width="3.85546875" bestFit="1" customWidth="1"/>
    <col min="7682" max="7682" width="61.5703125" customWidth="1"/>
    <col min="7683" max="7683" width="10" customWidth="1"/>
    <col min="7684" max="7684" width="11.85546875" customWidth="1"/>
    <col min="7685" max="7685" width="12.42578125" customWidth="1"/>
    <col min="7686" max="7686" width="9.7109375" customWidth="1"/>
    <col min="7687" max="7687" width="12" customWidth="1"/>
    <col min="7688" max="7688" width="13.28515625" customWidth="1"/>
    <col min="7689" max="7689" width="11.140625" customWidth="1"/>
    <col min="7690" max="7694" width="0" hidden="1" customWidth="1"/>
    <col min="7937" max="7937" width="3.85546875" bestFit="1" customWidth="1"/>
    <col min="7938" max="7938" width="61.5703125" customWidth="1"/>
    <col min="7939" max="7939" width="10" customWidth="1"/>
    <col min="7940" max="7940" width="11.85546875" customWidth="1"/>
    <col min="7941" max="7941" width="12.42578125" customWidth="1"/>
    <col min="7942" max="7942" width="9.7109375" customWidth="1"/>
    <col min="7943" max="7943" width="12" customWidth="1"/>
    <col min="7944" max="7944" width="13.28515625" customWidth="1"/>
    <col min="7945" max="7945" width="11.140625" customWidth="1"/>
    <col min="7946" max="7950" width="0" hidden="1" customWidth="1"/>
    <col min="8193" max="8193" width="3.85546875" bestFit="1" customWidth="1"/>
    <col min="8194" max="8194" width="61.5703125" customWidth="1"/>
    <col min="8195" max="8195" width="10" customWidth="1"/>
    <col min="8196" max="8196" width="11.85546875" customWidth="1"/>
    <col min="8197" max="8197" width="12.42578125" customWidth="1"/>
    <col min="8198" max="8198" width="9.7109375" customWidth="1"/>
    <col min="8199" max="8199" width="12" customWidth="1"/>
    <col min="8200" max="8200" width="13.28515625" customWidth="1"/>
    <col min="8201" max="8201" width="11.140625" customWidth="1"/>
    <col min="8202" max="8206" width="0" hidden="1" customWidth="1"/>
    <col min="8449" max="8449" width="3.85546875" bestFit="1" customWidth="1"/>
    <col min="8450" max="8450" width="61.5703125" customWidth="1"/>
    <col min="8451" max="8451" width="10" customWidth="1"/>
    <col min="8452" max="8452" width="11.85546875" customWidth="1"/>
    <col min="8453" max="8453" width="12.42578125" customWidth="1"/>
    <col min="8454" max="8454" width="9.7109375" customWidth="1"/>
    <col min="8455" max="8455" width="12" customWidth="1"/>
    <col min="8456" max="8456" width="13.28515625" customWidth="1"/>
    <col min="8457" max="8457" width="11.140625" customWidth="1"/>
    <col min="8458" max="8462" width="0" hidden="1" customWidth="1"/>
    <col min="8705" max="8705" width="3.85546875" bestFit="1" customWidth="1"/>
    <col min="8706" max="8706" width="61.5703125" customWidth="1"/>
    <col min="8707" max="8707" width="10" customWidth="1"/>
    <col min="8708" max="8708" width="11.85546875" customWidth="1"/>
    <col min="8709" max="8709" width="12.42578125" customWidth="1"/>
    <col min="8710" max="8710" width="9.7109375" customWidth="1"/>
    <col min="8711" max="8711" width="12" customWidth="1"/>
    <col min="8712" max="8712" width="13.28515625" customWidth="1"/>
    <col min="8713" max="8713" width="11.140625" customWidth="1"/>
    <col min="8714" max="8718" width="0" hidden="1" customWidth="1"/>
    <col min="8961" max="8961" width="3.85546875" bestFit="1" customWidth="1"/>
    <col min="8962" max="8962" width="61.5703125" customWidth="1"/>
    <col min="8963" max="8963" width="10" customWidth="1"/>
    <col min="8964" max="8964" width="11.85546875" customWidth="1"/>
    <col min="8965" max="8965" width="12.42578125" customWidth="1"/>
    <col min="8966" max="8966" width="9.7109375" customWidth="1"/>
    <col min="8967" max="8967" width="12" customWidth="1"/>
    <col min="8968" max="8968" width="13.28515625" customWidth="1"/>
    <col min="8969" max="8969" width="11.140625" customWidth="1"/>
    <col min="8970" max="8974" width="0" hidden="1" customWidth="1"/>
    <col min="9217" max="9217" width="3.85546875" bestFit="1" customWidth="1"/>
    <col min="9218" max="9218" width="61.5703125" customWidth="1"/>
    <col min="9219" max="9219" width="10" customWidth="1"/>
    <col min="9220" max="9220" width="11.85546875" customWidth="1"/>
    <col min="9221" max="9221" width="12.42578125" customWidth="1"/>
    <col min="9222" max="9222" width="9.7109375" customWidth="1"/>
    <col min="9223" max="9223" width="12" customWidth="1"/>
    <col min="9224" max="9224" width="13.28515625" customWidth="1"/>
    <col min="9225" max="9225" width="11.140625" customWidth="1"/>
    <col min="9226" max="9230" width="0" hidden="1" customWidth="1"/>
    <col min="9473" max="9473" width="3.85546875" bestFit="1" customWidth="1"/>
    <col min="9474" max="9474" width="61.5703125" customWidth="1"/>
    <col min="9475" max="9475" width="10" customWidth="1"/>
    <col min="9476" max="9476" width="11.85546875" customWidth="1"/>
    <col min="9477" max="9477" width="12.42578125" customWidth="1"/>
    <col min="9478" max="9478" width="9.7109375" customWidth="1"/>
    <col min="9479" max="9479" width="12" customWidth="1"/>
    <col min="9480" max="9480" width="13.28515625" customWidth="1"/>
    <col min="9481" max="9481" width="11.140625" customWidth="1"/>
    <col min="9482" max="9486" width="0" hidden="1" customWidth="1"/>
    <col min="9729" max="9729" width="3.85546875" bestFit="1" customWidth="1"/>
    <col min="9730" max="9730" width="61.5703125" customWidth="1"/>
    <col min="9731" max="9731" width="10" customWidth="1"/>
    <col min="9732" max="9732" width="11.85546875" customWidth="1"/>
    <col min="9733" max="9733" width="12.42578125" customWidth="1"/>
    <col min="9734" max="9734" width="9.7109375" customWidth="1"/>
    <col min="9735" max="9735" width="12" customWidth="1"/>
    <col min="9736" max="9736" width="13.28515625" customWidth="1"/>
    <col min="9737" max="9737" width="11.140625" customWidth="1"/>
    <col min="9738" max="9742" width="0" hidden="1" customWidth="1"/>
    <col min="9985" max="9985" width="3.85546875" bestFit="1" customWidth="1"/>
    <col min="9986" max="9986" width="61.5703125" customWidth="1"/>
    <col min="9987" max="9987" width="10" customWidth="1"/>
    <col min="9988" max="9988" width="11.85546875" customWidth="1"/>
    <col min="9989" max="9989" width="12.42578125" customWidth="1"/>
    <col min="9990" max="9990" width="9.7109375" customWidth="1"/>
    <col min="9991" max="9991" width="12" customWidth="1"/>
    <col min="9992" max="9992" width="13.28515625" customWidth="1"/>
    <col min="9993" max="9993" width="11.140625" customWidth="1"/>
    <col min="9994" max="9998" width="0" hidden="1" customWidth="1"/>
    <col min="10241" max="10241" width="3.85546875" bestFit="1" customWidth="1"/>
    <col min="10242" max="10242" width="61.5703125" customWidth="1"/>
    <col min="10243" max="10243" width="10" customWidth="1"/>
    <col min="10244" max="10244" width="11.85546875" customWidth="1"/>
    <col min="10245" max="10245" width="12.42578125" customWidth="1"/>
    <col min="10246" max="10246" width="9.7109375" customWidth="1"/>
    <col min="10247" max="10247" width="12" customWidth="1"/>
    <col min="10248" max="10248" width="13.28515625" customWidth="1"/>
    <col min="10249" max="10249" width="11.140625" customWidth="1"/>
    <col min="10250" max="10254" width="0" hidden="1" customWidth="1"/>
    <col min="10497" max="10497" width="3.85546875" bestFit="1" customWidth="1"/>
    <col min="10498" max="10498" width="61.5703125" customWidth="1"/>
    <col min="10499" max="10499" width="10" customWidth="1"/>
    <col min="10500" max="10500" width="11.85546875" customWidth="1"/>
    <col min="10501" max="10501" width="12.42578125" customWidth="1"/>
    <col min="10502" max="10502" width="9.7109375" customWidth="1"/>
    <col min="10503" max="10503" width="12" customWidth="1"/>
    <col min="10504" max="10504" width="13.28515625" customWidth="1"/>
    <col min="10505" max="10505" width="11.140625" customWidth="1"/>
    <col min="10506" max="10510" width="0" hidden="1" customWidth="1"/>
    <col min="10753" max="10753" width="3.85546875" bestFit="1" customWidth="1"/>
    <col min="10754" max="10754" width="61.5703125" customWidth="1"/>
    <col min="10755" max="10755" width="10" customWidth="1"/>
    <col min="10756" max="10756" width="11.85546875" customWidth="1"/>
    <col min="10757" max="10757" width="12.42578125" customWidth="1"/>
    <col min="10758" max="10758" width="9.7109375" customWidth="1"/>
    <col min="10759" max="10759" width="12" customWidth="1"/>
    <col min="10760" max="10760" width="13.28515625" customWidth="1"/>
    <col min="10761" max="10761" width="11.140625" customWidth="1"/>
    <col min="10762" max="10766" width="0" hidden="1" customWidth="1"/>
    <col min="11009" max="11009" width="3.85546875" bestFit="1" customWidth="1"/>
    <col min="11010" max="11010" width="61.5703125" customWidth="1"/>
    <col min="11011" max="11011" width="10" customWidth="1"/>
    <col min="11012" max="11012" width="11.85546875" customWidth="1"/>
    <col min="11013" max="11013" width="12.42578125" customWidth="1"/>
    <col min="11014" max="11014" width="9.7109375" customWidth="1"/>
    <col min="11015" max="11015" width="12" customWidth="1"/>
    <col min="11016" max="11016" width="13.28515625" customWidth="1"/>
    <col min="11017" max="11017" width="11.140625" customWidth="1"/>
    <col min="11018" max="11022" width="0" hidden="1" customWidth="1"/>
    <col min="11265" max="11265" width="3.85546875" bestFit="1" customWidth="1"/>
    <col min="11266" max="11266" width="61.5703125" customWidth="1"/>
    <col min="11267" max="11267" width="10" customWidth="1"/>
    <col min="11268" max="11268" width="11.85546875" customWidth="1"/>
    <col min="11269" max="11269" width="12.42578125" customWidth="1"/>
    <col min="11270" max="11270" width="9.7109375" customWidth="1"/>
    <col min="11271" max="11271" width="12" customWidth="1"/>
    <col min="11272" max="11272" width="13.28515625" customWidth="1"/>
    <col min="11273" max="11273" width="11.140625" customWidth="1"/>
    <col min="11274" max="11278" width="0" hidden="1" customWidth="1"/>
    <col min="11521" max="11521" width="3.85546875" bestFit="1" customWidth="1"/>
    <col min="11522" max="11522" width="61.5703125" customWidth="1"/>
    <col min="11523" max="11523" width="10" customWidth="1"/>
    <col min="11524" max="11524" width="11.85546875" customWidth="1"/>
    <col min="11525" max="11525" width="12.42578125" customWidth="1"/>
    <col min="11526" max="11526" width="9.7109375" customWidth="1"/>
    <col min="11527" max="11527" width="12" customWidth="1"/>
    <col min="11528" max="11528" width="13.28515625" customWidth="1"/>
    <col min="11529" max="11529" width="11.140625" customWidth="1"/>
    <col min="11530" max="11534" width="0" hidden="1" customWidth="1"/>
    <col min="11777" max="11777" width="3.85546875" bestFit="1" customWidth="1"/>
    <col min="11778" max="11778" width="61.5703125" customWidth="1"/>
    <col min="11779" max="11779" width="10" customWidth="1"/>
    <col min="11780" max="11780" width="11.85546875" customWidth="1"/>
    <col min="11781" max="11781" width="12.42578125" customWidth="1"/>
    <col min="11782" max="11782" width="9.7109375" customWidth="1"/>
    <col min="11783" max="11783" width="12" customWidth="1"/>
    <col min="11784" max="11784" width="13.28515625" customWidth="1"/>
    <col min="11785" max="11785" width="11.140625" customWidth="1"/>
    <col min="11786" max="11790" width="0" hidden="1" customWidth="1"/>
    <col min="12033" max="12033" width="3.85546875" bestFit="1" customWidth="1"/>
    <col min="12034" max="12034" width="61.5703125" customWidth="1"/>
    <col min="12035" max="12035" width="10" customWidth="1"/>
    <col min="12036" max="12036" width="11.85546875" customWidth="1"/>
    <col min="12037" max="12037" width="12.42578125" customWidth="1"/>
    <col min="12038" max="12038" width="9.7109375" customWidth="1"/>
    <col min="12039" max="12039" width="12" customWidth="1"/>
    <col min="12040" max="12040" width="13.28515625" customWidth="1"/>
    <col min="12041" max="12041" width="11.140625" customWidth="1"/>
    <col min="12042" max="12046" width="0" hidden="1" customWidth="1"/>
    <col min="12289" max="12289" width="3.85546875" bestFit="1" customWidth="1"/>
    <col min="12290" max="12290" width="61.5703125" customWidth="1"/>
    <col min="12291" max="12291" width="10" customWidth="1"/>
    <col min="12292" max="12292" width="11.85546875" customWidth="1"/>
    <col min="12293" max="12293" width="12.42578125" customWidth="1"/>
    <col min="12294" max="12294" width="9.7109375" customWidth="1"/>
    <col min="12295" max="12295" width="12" customWidth="1"/>
    <col min="12296" max="12296" width="13.28515625" customWidth="1"/>
    <col min="12297" max="12297" width="11.140625" customWidth="1"/>
    <col min="12298" max="12302" width="0" hidden="1" customWidth="1"/>
    <col min="12545" max="12545" width="3.85546875" bestFit="1" customWidth="1"/>
    <col min="12546" max="12546" width="61.5703125" customWidth="1"/>
    <col min="12547" max="12547" width="10" customWidth="1"/>
    <col min="12548" max="12548" width="11.85546875" customWidth="1"/>
    <col min="12549" max="12549" width="12.42578125" customWidth="1"/>
    <col min="12550" max="12550" width="9.7109375" customWidth="1"/>
    <col min="12551" max="12551" width="12" customWidth="1"/>
    <col min="12552" max="12552" width="13.28515625" customWidth="1"/>
    <col min="12553" max="12553" width="11.140625" customWidth="1"/>
    <col min="12554" max="12558" width="0" hidden="1" customWidth="1"/>
    <col min="12801" max="12801" width="3.85546875" bestFit="1" customWidth="1"/>
    <col min="12802" max="12802" width="61.5703125" customWidth="1"/>
    <col min="12803" max="12803" width="10" customWidth="1"/>
    <col min="12804" max="12804" width="11.85546875" customWidth="1"/>
    <col min="12805" max="12805" width="12.42578125" customWidth="1"/>
    <col min="12806" max="12806" width="9.7109375" customWidth="1"/>
    <col min="12807" max="12807" width="12" customWidth="1"/>
    <col min="12808" max="12808" width="13.28515625" customWidth="1"/>
    <col min="12809" max="12809" width="11.140625" customWidth="1"/>
    <col min="12810" max="12814" width="0" hidden="1" customWidth="1"/>
    <col min="13057" max="13057" width="3.85546875" bestFit="1" customWidth="1"/>
    <col min="13058" max="13058" width="61.5703125" customWidth="1"/>
    <col min="13059" max="13059" width="10" customWidth="1"/>
    <col min="13060" max="13060" width="11.85546875" customWidth="1"/>
    <col min="13061" max="13061" width="12.42578125" customWidth="1"/>
    <col min="13062" max="13062" width="9.7109375" customWidth="1"/>
    <col min="13063" max="13063" width="12" customWidth="1"/>
    <col min="13064" max="13064" width="13.28515625" customWidth="1"/>
    <col min="13065" max="13065" width="11.140625" customWidth="1"/>
    <col min="13066" max="13070" width="0" hidden="1" customWidth="1"/>
    <col min="13313" max="13313" width="3.85546875" bestFit="1" customWidth="1"/>
    <col min="13314" max="13314" width="61.5703125" customWidth="1"/>
    <col min="13315" max="13315" width="10" customWidth="1"/>
    <col min="13316" max="13316" width="11.85546875" customWidth="1"/>
    <col min="13317" max="13317" width="12.42578125" customWidth="1"/>
    <col min="13318" max="13318" width="9.7109375" customWidth="1"/>
    <col min="13319" max="13319" width="12" customWidth="1"/>
    <col min="13320" max="13320" width="13.28515625" customWidth="1"/>
    <col min="13321" max="13321" width="11.140625" customWidth="1"/>
    <col min="13322" max="13326" width="0" hidden="1" customWidth="1"/>
    <col min="13569" max="13569" width="3.85546875" bestFit="1" customWidth="1"/>
    <col min="13570" max="13570" width="61.5703125" customWidth="1"/>
    <col min="13571" max="13571" width="10" customWidth="1"/>
    <col min="13572" max="13572" width="11.85546875" customWidth="1"/>
    <col min="13573" max="13573" width="12.42578125" customWidth="1"/>
    <col min="13574" max="13574" width="9.7109375" customWidth="1"/>
    <col min="13575" max="13575" width="12" customWidth="1"/>
    <col min="13576" max="13576" width="13.28515625" customWidth="1"/>
    <col min="13577" max="13577" width="11.140625" customWidth="1"/>
    <col min="13578" max="13582" width="0" hidden="1" customWidth="1"/>
    <col min="13825" max="13825" width="3.85546875" bestFit="1" customWidth="1"/>
    <col min="13826" max="13826" width="61.5703125" customWidth="1"/>
    <col min="13827" max="13827" width="10" customWidth="1"/>
    <col min="13828" max="13828" width="11.85546875" customWidth="1"/>
    <col min="13829" max="13829" width="12.42578125" customWidth="1"/>
    <col min="13830" max="13830" width="9.7109375" customWidth="1"/>
    <col min="13831" max="13831" width="12" customWidth="1"/>
    <col min="13832" max="13832" width="13.28515625" customWidth="1"/>
    <col min="13833" max="13833" width="11.140625" customWidth="1"/>
    <col min="13834" max="13838" width="0" hidden="1" customWidth="1"/>
    <col min="14081" max="14081" width="3.85546875" bestFit="1" customWidth="1"/>
    <col min="14082" max="14082" width="61.5703125" customWidth="1"/>
    <col min="14083" max="14083" width="10" customWidth="1"/>
    <col min="14084" max="14084" width="11.85546875" customWidth="1"/>
    <col min="14085" max="14085" width="12.42578125" customWidth="1"/>
    <col min="14086" max="14086" width="9.7109375" customWidth="1"/>
    <col min="14087" max="14087" width="12" customWidth="1"/>
    <col min="14088" max="14088" width="13.28515625" customWidth="1"/>
    <col min="14089" max="14089" width="11.140625" customWidth="1"/>
    <col min="14090" max="14094" width="0" hidden="1" customWidth="1"/>
    <col min="14337" max="14337" width="3.85546875" bestFit="1" customWidth="1"/>
    <col min="14338" max="14338" width="61.5703125" customWidth="1"/>
    <col min="14339" max="14339" width="10" customWidth="1"/>
    <col min="14340" max="14340" width="11.85546875" customWidth="1"/>
    <col min="14341" max="14341" width="12.42578125" customWidth="1"/>
    <col min="14342" max="14342" width="9.7109375" customWidth="1"/>
    <col min="14343" max="14343" width="12" customWidth="1"/>
    <col min="14344" max="14344" width="13.28515625" customWidth="1"/>
    <col min="14345" max="14345" width="11.140625" customWidth="1"/>
    <col min="14346" max="14350" width="0" hidden="1" customWidth="1"/>
    <col min="14593" max="14593" width="3.85546875" bestFit="1" customWidth="1"/>
    <col min="14594" max="14594" width="61.5703125" customWidth="1"/>
    <col min="14595" max="14595" width="10" customWidth="1"/>
    <col min="14596" max="14596" width="11.85546875" customWidth="1"/>
    <col min="14597" max="14597" width="12.42578125" customWidth="1"/>
    <col min="14598" max="14598" width="9.7109375" customWidth="1"/>
    <col min="14599" max="14599" width="12" customWidth="1"/>
    <col min="14600" max="14600" width="13.28515625" customWidth="1"/>
    <col min="14601" max="14601" width="11.140625" customWidth="1"/>
    <col min="14602" max="14606" width="0" hidden="1" customWidth="1"/>
    <col min="14849" max="14849" width="3.85546875" bestFit="1" customWidth="1"/>
    <col min="14850" max="14850" width="61.5703125" customWidth="1"/>
    <col min="14851" max="14851" width="10" customWidth="1"/>
    <col min="14852" max="14852" width="11.85546875" customWidth="1"/>
    <col min="14853" max="14853" width="12.42578125" customWidth="1"/>
    <col min="14854" max="14854" width="9.7109375" customWidth="1"/>
    <col min="14855" max="14855" width="12" customWidth="1"/>
    <col min="14856" max="14856" width="13.28515625" customWidth="1"/>
    <col min="14857" max="14857" width="11.140625" customWidth="1"/>
    <col min="14858" max="14862" width="0" hidden="1" customWidth="1"/>
    <col min="15105" max="15105" width="3.85546875" bestFit="1" customWidth="1"/>
    <col min="15106" max="15106" width="61.5703125" customWidth="1"/>
    <col min="15107" max="15107" width="10" customWidth="1"/>
    <col min="15108" max="15108" width="11.85546875" customWidth="1"/>
    <col min="15109" max="15109" width="12.42578125" customWidth="1"/>
    <col min="15110" max="15110" width="9.7109375" customWidth="1"/>
    <col min="15111" max="15111" width="12" customWidth="1"/>
    <col min="15112" max="15112" width="13.28515625" customWidth="1"/>
    <col min="15113" max="15113" width="11.140625" customWidth="1"/>
    <col min="15114" max="15118" width="0" hidden="1" customWidth="1"/>
    <col min="15361" max="15361" width="3.85546875" bestFit="1" customWidth="1"/>
    <col min="15362" max="15362" width="61.5703125" customWidth="1"/>
    <col min="15363" max="15363" width="10" customWidth="1"/>
    <col min="15364" max="15364" width="11.85546875" customWidth="1"/>
    <col min="15365" max="15365" width="12.42578125" customWidth="1"/>
    <col min="15366" max="15366" width="9.7109375" customWidth="1"/>
    <col min="15367" max="15367" width="12" customWidth="1"/>
    <col min="15368" max="15368" width="13.28515625" customWidth="1"/>
    <col min="15369" max="15369" width="11.140625" customWidth="1"/>
    <col min="15370" max="15374" width="0" hidden="1" customWidth="1"/>
    <col min="15617" max="15617" width="3.85546875" bestFit="1" customWidth="1"/>
    <col min="15618" max="15618" width="61.5703125" customWidth="1"/>
    <col min="15619" max="15619" width="10" customWidth="1"/>
    <col min="15620" max="15620" width="11.85546875" customWidth="1"/>
    <col min="15621" max="15621" width="12.42578125" customWidth="1"/>
    <col min="15622" max="15622" width="9.7109375" customWidth="1"/>
    <col min="15623" max="15623" width="12" customWidth="1"/>
    <col min="15624" max="15624" width="13.28515625" customWidth="1"/>
    <col min="15625" max="15625" width="11.140625" customWidth="1"/>
    <col min="15626" max="15630" width="0" hidden="1" customWidth="1"/>
    <col min="15873" max="15873" width="3.85546875" bestFit="1" customWidth="1"/>
    <col min="15874" max="15874" width="61.5703125" customWidth="1"/>
    <col min="15875" max="15875" width="10" customWidth="1"/>
    <col min="15876" max="15876" width="11.85546875" customWidth="1"/>
    <col min="15877" max="15877" width="12.42578125" customWidth="1"/>
    <col min="15878" max="15878" width="9.7109375" customWidth="1"/>
    <col min="15879" max="15879" width="12" customWidth="1"/>
    <col min="15880" max="15880" width="13.28515625" customWidth="1"/>
    <col min="15881" max="15881" width="11.140625" customWidth="1"/>
    <col min="15882" max="15886" width="0" hidden="1" customWidth="1"/>
    <col min="16129" max="16129" width="3.85546875" bestFit="1" customWidth="1"/>
    <col min="16130" max="16130" width="61.5703125" customWidth="1"/>
    <col min="16131" max="16131" width="10" customWidth="1"/>
    <col min="16132" max="16132" width="11.85546875" customWidth="1"/>
    <col min="16133" max="16133" width="12.42578125" customWidth="1"/>
    <col min="16134" max="16134" width="9.7109375" customWidth="1"/>
    <col min="16135" max="16135" width="12" customWidth="1"/>
    <col min="16136" max="16136" width="13.28515625" customWidth="1"/>
    <col min="16137" max="16137" width="11.140625" customWidth="1"/>
    <col min="16138" max="16142" width="0" hidden="1" customWidth="1"/>
  </cols>
  <sheetData>
    <row r="1" spans="1:11" ht="48" customHeight="1">
      <c r="A1" s="282" t="s">
        <v>238</v>
      </c>
      <c r="B1" s="283"/>
      <c r="C1" s="283"/>
      <c r="D1" s="283"/>
      <c r="E1" s="283"/>
      <c r="F1" s="283"/>
      <c r="G1" s="283"/>
      <c r="H1" s="283"/>
      <c r="I1" s="284"/>
      <c r="J1" s="1"/>
      <c r="K1">
        <f>8183508+115914+111083+8065006+3950803</f>
        <v>20426314</v>
      </c>
    </row>
    <row r="2" spans="1:11" ht="17.25" customHeight="1">
      <c r="A2" s="285" t="s">
        <v>0</v>
      </c>
      <c r="B2" s="287" t="s">
        <v>1</v>
      </c>
      <c r="C2" s="287" t="s">
        <v>2</v>
      </c>
      <c r="D2" s="288" t="s">
        <v>239</v>
      </c>
      <c r="E2" s="289"/>
      <c r="F2" s="289"/>
      <c r="G2" s="289"/>
      <c r="H2" s="290" t="s">
        <v>240</v>
      </c>
      <c r="I2" s="288" t="s">
        <v>3</v>
      </c>
    </row>
    <row r="3" spans="1:11" ht="22.5" customHeight="1">
      <c r="A3" s="286"/>
      <c r="B3" s="287"/>
      <c r="C3" s="287"/>
      <c r="D3" s="194" t="s">
        <v>4</v>
      </c>
      <c r="E3" s="193" t="s">
        <v>5</v>
      </c>
      <c r="F3" s="193" t="s">
        <v>6</v>
      </c>
      <c r="G3" s="193" t="s">
        <v>7</v>
      </c>
      <c r="H3" s="290"/>
      <c r="I3" s="288"/>
    </row>
    <row r="4" spans="1:11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1" ht="15.75">
      <c r="A5" s="15" t="s">
        <v>9</v>
      </c>
      <c r="B5" s="52" t="s">
        <v>10</v>
      </c>
      <c r="C5" s="196" t="s">
        <v>11</v>
      </c>
      <c r="D5" s="5">
        <f>D8+D9+D7</f>
        <v>4800</v>
      </c>
      <c r="E5" s="5">
        <f>E8+E9+E7</f>
        <v>5073.8770000000004</v>
      </c>
      <c r="F5" s="5">
        <f>ROUND(E5/D5*100,1)</f>
        <v>105.7</v>
      </c>
      <c r="G5" s="5">
        <f>E5-D5</f>
        <v>273.87700000000041</v>
      </c>
      <c r="H5" s="6">
        <v>3869.375</v>
      </c>
      <c r="I5" s="6">
        <f>IF(H5&gt;0,ROUND(E5/H5*100,1),0)</f>
        <v>131.1</v>
      </c>
    </row>
    <row r="6" spans="1:11" ht="15.75" customHeight="1">
      <c r="A6" s="15"/>
      <c r="B6" s="15" t="s">
        <v>12</v>
      </c>
      <c r="C6" s="15"/>
      <c r="D6" s="19"/>
      <c r="E6" s="19"/>
      <c r="F6" s="34"/>
      <c r="G6" s="34"/>
      <c r="H6" s="18"/>
      <c r="I6" s="34"/>
    </row>
    <row r="7" spans="1:11" ht="15.75">
      <c r="A7" s="15"/>
      <c r="B7" s="29" t="s">
        <v>13</v>
      </c>
      <c r="C7" s="15" t="s">
        <v>11</v>
      </c>
      <c r="D7" s="34">
        <f>'2022 г. '!D7</f>
        <v>4246</v>
      </c>
      <c r="E7" s="34">
        <f>'2022 г. '!E7</f>
        <v>4542.6869999999999</v>
      </c>
      <c r="F7" s="34">
        <f>ROUND(E7/D7*100,1)</f>
        <v>107</v>
      </c>
      <c r="G7" s="34">
        <f>E7-D7</f>
        <v>296.6869999999999</v>
      </c>
      <c r="H7" s="18">
        <v>3349.4349999999999</v>
      </c>
      <c r="I7" s="18">
        <f t="shared" ref="I7:I14" si="0">IF(H7&gt;0,ROUND(E7/H7*100,1),0)</f>
        <v>135.6</v>
      </c>
    </row>
    <row r="8" spans="1:11" ht="15.75">
      <c r="A8" s="15"/>
      <c r="B8" s="29" t="s">
        <v>14</v>
      </c>
      <c r="C8" s="15" t="s">
        <v>11</v>
      </c>
      <c r="D8" s="34">
        <f>'2022 г. '!D8</f>
        <v>54</v>
      </c>
      <c r="E8" s="34">
        <f>'2022 г. '!E8</f>
        <v>62.192999999999998</v>
      </c>
      <c r="F8" s="34">
        <f>ROUND(E8/D8*100,1)</f>
        <v>115.2</v>
      </c>
      <c r="G8" s="34">
        <f>E8-D8</f>
        <v>8.1929999999999978</v>
      </c>
      <c r="H8" s="18">
        <v>63.905000000000001</v>
      </c>
      <c r="I8" s="18">
        <f t="shared" si="0"/>
        <v>97.3</v>
      </c>
    </row>
    <row r="9" spans="1:11" ht="15.75">
      <c r="A9" s="15"/>
      <c r="B9" s="29" t="s">
        <v>15</v>
      </c>
      <c r="C9" s="15" t="s">
        <v>11</v>
      </c>
      <c r="D9" s="34">
        <f>'2022 г. '!D9</f>
        <v>500</v>
      </c>
      <c r="E9" s="34">
        <f>'2022 г. '!E9</f>
        <v>468.99700000000001</v>
      </c>
      <c r="F9" s="34">
        <f>ROUND(E9/D9*100,1)</f>
        <v>93.8</v>
      </c>
      <c r="G9" s="34">
        <f>E9-D9</f>
        <v>-31.002999999999986</v>
      </c>
      <c r="H9" s="18">
        <v>456.03500000000003</v>
      </c>
      <c r="I9" s="18">
        <f t="shared" si="0"/>
        <v>102.8</v>
      </c>
    </row>
    <row r="10" spans="1:11" ht="15.75">
      <c r="A10" s="15" t="s">
        <v>16</v>
      </c>
      <c r="B10" s="52" t="s">
        <v>17</v>
      </c>
      <c r="C10" s="197" t="s">
        <v>11</v>
      </c>
      <c r="D10" s="34">
        <f>'2022 г. '!D10</f>
        <v>650</v>
      </c>
      <c r="E10" s="34">
        <f>'2022 г. '!E10</f>
        <v>815.62099999999998</v>
      </c>
      <c r="F10" s="5">
        <f>ROUND(E10/D10*100,1)</f>
        <v>125.5</v>
      </c>
      <c r="G10" s="5">
        <f>E10-D10</f>
        <v>165.62099999999998</v>
      </c>
      <c r="H10" s="6">
        <v>373.43899999999996</v>
      </c>
      <c r="I10" s="18">
        <f t="shared" si="0"/>
        <v>218.4</v>
      </c>
    </row>
    <row r="11" spans="1:11" ht="17.25" customHeight="1">
      <c r="A11" s="15"/>
      <c r="B11" s="15" t="s">
        <v>12</v>
      </c>
      <c r="C11" s="15"/>
      <c r="D11" s="34">
        <f>'2022 г. '!D11</f>
        <v>0</v>
      </c>
      <c r="E11" s="34">
        <f>'2022 г. '!E11</f>
        <v>0</v>
      </c>
      <c r="F11" s="34"/>
      <c r="G11" s="34"/>
      <c r="H11" s="18">
        <v>0</v>
      </c>
      <c r="I11" s="18">
        <f t="shared" si="0"/>
        <v>0</v>
      </c>
    </row>
    <row r="12" spans="1:11" ht="15.75">
      <c r="A12" s="15"/>
      <c r="B12" s="29" t="s">
        <v>18</v>
      </c>
      <c r="C12" s="15" t="s">
        <v>11</v>
      </c>
      <c r="D12" s="34">
        <f>'2022 г. '!D12</f>
        <v>210</v>
      </c>
      <c r="E12" s="34">
        <f>'2022 г. '!E12</f>
        <v>441.96699999999998</v>
      </c>
      <c r="F12" s="34">
        <f>ROUND(E12/D12*100,1)</f>
        <v>210.5</v>
      </c>
      <c r="G12" s="34">
        <f>E12-D12</f>
        <v>231.96699999999998</v>
      </c>
      <c r="H12" s="18">
        <v>172.26599999999999</v>
      </c>
      <c r="I12" s="18">
        <f t="shared" si="0"/>
        <v>256.60000000000002</v>
      </c>
    </row>
    <row r="13" spans="1:11" ht="15.75">
      <c r="A13" s="15"/>
      <c r="B13" s="29" t="s">
        <v>19</v>
      </c>
      <c r="C13" s="15" t="s">
        <v>11</v>
      </c>
      <c r="D13" s="34">
        <f>'2022 г. '!D13</f>
        <v>440</v>
      </c>
      <c r="E13" s="34">
        <f>'2022 г. '!E13</f>
        <v>373.654</v>
      </c>
      <c r="F13" s="34">
        <f>ROUND(E13/D13*100,1)</f>
        <v>84.9</v>
      </c>
      <c r="G13" s="34">
        <f>E13-D13</f>
        <v>-66.346000000000004</v>
      </c>
      <c r="H13" s="18">
        <v>201.173</v>
      </c>
      <c r="I13" s="18">
        <f t="shared" si="0"/>
        <v>185.7</v>
      </c>
    </row>
    <row r="14" spans="1:11" ht="15.75">
      <c r="A14" s="15" t="s">
        <v>20</v>
      </c>
      <c r="B14" s="52" t="s">
        <v>21</v>
      </c>
      <c r="C14" s="196" t="s">
        <v>11</v>
      </c>
      <c r="D14" s="34">
        <f>'2022 г. '!D14</f>
        <v>4494</v>
      </c>
      <c r="E14" s="34">
        <f>'2022 г. '!E14</f>
        <v>5318.3</v>
      </c>
      <c r="F14" s="5">
        <f>ROUND(E14/D14*100,1)</f>
        <v>118.3</v>
      </c>
      <c r="G14" s="5">
        <f>E14-D14</f>
        <v>824.30000000000018</v>
      </c>
      <c r="H14" s="6">
        <v>3885.4770000000003</v>
      </c>
      <c r="I14" s="6">
        <f t="shared" si="0"/>
        <v>136.9</v>
      </c>
      <c r="J14" t="s">
        <v>22</v>
      </c>
    </row>
    <row r="15" spans="1:11" ht="18" customHeight="1">
      <c r="A15" s="15"/>
      <c r="B15" s="15" t="s">
        <v>12</v>
      </c>
      <c r="C15" s="15"/>
      <c r="D15" s="34">
        <f>'2022 г. '!D15</f>
        <v>0</v>
      </c>
      <c r="E15" s="34">
        <f>'2022 г. '!E15</f>
        <v>0</v>
      </c>
      <c r="F15" s="34"/>
      <c r="G15" s="34"/>
      <c r="H15" s="18">
        <v>0</v>
      </c>
      <c r="I15" s="34"/>
    </row>
    <row r="16" spans="1:11" ht="15.75">
      <c r="A16" s="15"/>
      <c r="B16" s="29" t="s">
        <v>13</v>
      </c>
      <c r="C16" s="15" t="s">
        <v>11</v>
      </c>
      <c r="D16" s="34">
        <f>'2022 г. '!D16</f>
        <v>3894.4</v>
      </c>
      <c r="E16" s="34">
        <f>'2022 г. '!E16</f>
        <v>4605.4390000000003</v>
      </c>
      <c r="F16" s="34">
        <f>ROUND(E16/D16*100,1)</f>
        <v>118.3</v>
      </c>
      <c r="G16" s="34">
        <f>E16-D16</f>
        <v>711.03900000000021</v>
      </c>
      <c r="H16" s="18">
        <v>3445.7130000000002</v>
      </c>
      <c r="I16" s="18">
        <f>IF(H16&gt;0,ROUND(E16/H16*100,1),0)</f>
        <v>133.69999999999999</v>
      </c>
      <c r="J16" t="s">
        <v>22</v>
      </c>
    </row>
    <row r="17" spans="1:12" ht="15.75">
      <c r="A17" s="15"/>
      <c r="B17" s="29" t="s">
        <v>14</v>
      </c>
      <c r="C17" s="15" t="s">
        <v>11</v>
      </c>
      <c r="D17" s="34">
        <f>'2022 г. '!D17</f>
        <v>54</v>
      </c>
      <c r="E17" s="34">
        <f>'2022 г. '!E17</f>
        <v>62.009</v>
      </c>
      <c r="F17" s="34">
        <f>ROUND(E17/D17*100,1)</f>
        <v>114.8</v>
      </c>
      <c r="G17" s="34">
        <f>E17-D17</f>
        <v>8.0090000000000003</v>
      </c>
      <c r="H17" s="18">
        <v>52.996000000000002</v>
      </c>
      <c r="I17" s="18">
        <f>IF(H17&gt;0,ROUND(E17/H17*100,1),0)</f>
        <v>117</v>
      </c>
      <c r="J17" t="s">
        <v>22</v>
      </c>
    </row>
    <row r="18" spans="1:12" ht="15.75">
      <c r="A18" s="15"/>
      <c r="B18" s="29" t="s">
        <v>15</v>
      </c>
      <c r="C18" s="15" t="s">
        <v>11</v>
      </c>
      <c r="D18" s="34">
        <f>'2022 г. '!D18</f>
        <v>545.6</v>
      </c>
      <c r="E18" s="34">
        <f>'2022 г. '!E18</f>
        <v>650.85199999999998</v>
      </c>
      <c r="F18" s="34">
        <f>ROUND(E18/D18*100,1)</f>
        <v>119.3</v>
      </c>
      <c r="G18" s="34">
        <f>E18-D18</f>
        <v>105.25199999999995</v>
      </c>
      <c r="H18" s="18">
        <v>386.76799999999997</v>
      </c>
      <c r="I18" s="18">
        <f>IF(H18&gt;0,ROUND(E18/H18*100,1),0)</f>
        <v>168.3</v>
      </c>
    </row>
    <row r="19" spans="1:12" ht="18.75">
      <c r="A19" s="15" t="s">
        <v>23</v>
      </c>
      <c r="B19" s="52" t="s">
        <v>24</v>
      </c>
      <c r="C19" s="196" t="s">
        <v>25</v>
      </c>
      <c r="D19" s="34">
        <f>'2022 г. '!D19</f>
        <v>34400</v>
      </c>
      <c r="E19" s="34">
        <f>'2022 г. '!E19</f>
        <v>17375.77</v>
      </c>
      <c r="F19" s="5">
        <f>ROUND(E19/D19*100,1)</f>
        <v>50.5</v>
      </c>
      <c r="G19" s="5">
        <f>E19-D19</f>
        <v>-17024.23</v>
      </c>
      <c r="H19" s="6">
        <v>23015.638999999999</v>
      </c>
      <c r="I19" s="6">
        <f>IF(H19&gt;0,ROUND(E19/H19*100,1),0)</f>
        <v>75.5</v>
      </c>
      <c r="J19" t="s">
        <v>22</v>
      </c>
    </row>
    <row r="20" spans="1:12" ht="15.75">
      <c r="A20" s="15"/>
      <c r="B20" s="52" t="s">
        <v>26</v>
      </c>
      <c r="C20" s="15"/>
      <c r="D20" s="34">
        <f>'2022 г. '!D20</f>
        <v>0</v>
      </c>
      <c r="E20" s="34">
        <f>'2022 г. '!E20</f>
        <v>0</v>
      </c>
      <c r="F20" s="34"/>
      <c r="G20" s="34"/>
      <c r="H20" s="18">
        <v>0</v>
      </c>
      <c r="I20" s="34"/>
      <c r="L20" s="11"/>
    </row>
    <row r="21" spans="1:12" ht="18.75">
      <c r="A21" s="15"/>
      <c r="B21" s="29" t="s">
        <v>27</v>
      </c>
      <c r="C21" s="15" t="s">
        <v>28</v>
      </c>
      <c r="D21" s="34">
        <f>'2022 г. '!D21</f>
        <v>9100</v>
      </c>
      <c r="E21" s="34">
        <f>'2022 г. '!E21</f>
        <v>6284.2309999999998</v>
      </c>
      <c r="F21" s="34">
        <f>ROUND(E21/D21*100,1)</f>
        <v>69.099999999999994</v>
      </c>
      <c r="G21" s="34">
        <f t="shared" ref="G21:G31" si="1">E21-D21</f>
        <v>-2815.7690000000002</v>
      </c>
      <c r="H21" s="18">
        <v>7560.7790000000005</v>
      </c>
      <c r="I21" s="18">
        <f>IF(H21&gt;0,ROUND(E21/H21*100,1),0)</f>
        <v>83.1</v>
      </c>
      <c r="J21" t="s">
        <v>22</v>
      </c>
    </row>
    <row r="22" spans="1:12" ht="18.75">
      <c r="A22" s="15"/>
      <c r="B22" s="29" t="s">
        <v>29</v>
      </c>
      <c r="C22" s="15" t="s">
        <v>28</v>
      </c>
      <c r="D22" s="34">
        <f>'2022 г. '!D22</f>
        <v>25300</v>
      </c>
      <c r="E22" s="34">
        <f>'2022 г. '!E22</f>
        <v>11091.539000000001</v>
      </c>
      <c r="F22" s="34">
        <f>ROUND(E22/D22*100,1)</f>
        <v>43.8</v>
      </c>
      <c r="G22" s="34">
        <f t="shared" si="1"/>
        <v>-14208.460999999999</v>
      </c>
      <c r="H22" s="18">
        <v>15345.4</v>
      </c>
      <c r="I22" s="18">
        <f>IF(H22&gt;0,ROUND(E22/H22*100,1),0)</f>
        <v>72.3</v>
      </c>
      <c r="J22" t="s">
        <v>22</v>
      </c>
    </row>
    <row r="23" spans="1:12" ht="18.75">
      <c r="A23" s="15"/>
      <c r="B23" s="29" t="s">
        <v>30</v>
      </c>
      <c r="C23" s="15" t="s">
        <v>28</v>
      </c>
      <c r="D23" s="18" t="s">
        <v>73</v>
      </c>
      <c r="E23" s="18" t="s">
        <v>73</v>
      </c>
      <c r="F23" s="18" t="s">
        <v>73</v>
      </c>
      <c r="G23" s="18" t="s">
        <v>73</v>
      </c>
      <c r="H23" s="18" t="s">
        <v>73</v>
      </c>
      <c r="I23" s="18" t="s">
        <v>73</v>
      </c>
      <c r="J23" t="s">
        <v>22</v>
      </c>
    </row>
    <row r="24" spans="1:12" ht="18.75">
      <c r="A24" s="15"/>
      <c r="B24" s="29" t="s">
        <v>31</v>
      </c>
      <c r="C24" s="15" t="s">
        <v>28</v>
      </c>
      <c r="D24" s="18" t="s">
        <v>73</v>
      </c>
      <c r="E24" s="18" t="s">
        <v>73</v>
      </c>
      <c r="F24" s="18" t="s">
        <v>73</v>
      </c>
      <c r="G24" s="18" t="s">
        <v>73</v>
      </c>
      <c r="H24" s="18">
        <v>109.46</v>
      </c>
      <c r="I24" s="18" t="s">
        <v>73</v>
      </c>
      <c r="J24" t="s">
        <v>22</v>
      </c>
    </row>
    <row r="25" spans="1:12" ht="15.75">
      <c r="A25" s="15" t="s">
        <v>32</v>
      </c>
      <c r="B25" s="52" t="s">
        <v>33</v>
      </c>
      <c r="C25" s="197" t="s">
        <v>34</v>
      </c>
      <c r="D25" s="5">
        <f>'2022 г. '!D25</f>
        <v>1050</v>
      </c>
      <c r="E25" s="5">
        <f>'2022 г. '!E25</f>
        <v>1424</v>
      </c>
      <c r="F25" s="5">
        <f t="shared" ref="F25:F29" si="2">ROUND(E25/D25*100,1)</f>
        <v>135.6</v>
      </c>
      <c r="G25" s="6">
        <f t="shared" si="1"/>
        <v>374</v>
      </c>
      <c r="H25" s="6">
        <v>1411</v>
      </c>
      <c r="I25" s="6">
        <f>IF(H25&gt;0,ROUND(E25/H25*100,1),0)</f>
        <v>100.9</v>
      </c>
      <c r="J25" t="s">
        <v>22</v>
      </c>
    </row>
    <row r="26" spans="1:12" s="19" customFormat="1" ht="31.5">
      <c r="A26" s="15" t="s">
        <v>35</v>
      </c>
      <c r="B26" s="75" t="s">
        <v>36</v>
      </c>
      <c r="C26" s="17" t="s">
        <v>37</v>
      </c>
      <c r="D26" s="18">
        <f>'2022 г. '!D26</f>
        <v>887347.33299999998</v>
      </c>
      <c r="E26" s="18">
        <f>'2022 г. '!E26</f>
        <v>939461.37399999995</v>
      </c>
      <c r="F26" s="18">
        <f t="shared" si="2"/>
        <v>105.9</v>
      </c>
      <c r="G26" s="18">
        <f t="shared" si="1"/>
        <v>52114.040999999968</v>
      </c>
      <c r="H26" s="18">
        <f>'2022 г. '!H26</f>
        <v>874839.19099999999</v>
      </c>
      <c r="I26" s="18">
        <f>IF(H26&gt;0,ROUND(E26/H26*100,1),0)</f>
        <v>107.4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208</v>
      </c>
      <c r="C27" s="17" t="s">
        <v>37</v>
      </c>
      <c r="D27" s="34">
        <f>'2022 г. '!D27</f>
        <v>232.4</v>
      </c>
      <c r="E27" s="34">
        <f>'2022 г. '!E27</f>
        <v>14.151</v>
      </c>
      <c r="F27" s="18">
        <f>ROUND(E27/D27*100,1)</f>
        <v>6.1</v>
      </c>
      <c r="G27" s="18">
        <f t="shared" si="1"/>
        <v>-218.249</v>
      </c>
      <c r="H27" s="18">
        <f>'2022 г. '!H27</f>
        <v>149.43600000000001</v>
      </c>
      <c r="I27" s="18">
        <f t="shared" ref="I27:I28" si="3">IF(H27&gt;0,ROUND(E27/H27*100,1),0)</f>
        <v>9.5</v>
      </c>
      <c r="J27" t="s">
        <v>22</v>
      </c>
      <c r="K27"/>
    </row>
    <row r="28" spans="1:12" ht="31.5">
      <c r="A28" s="15" t="s">
        <v>39</v>
      </c>
      <c r="B28" s="75" t="s">
        <v>40</v>
      </c>
      <c r="C28" s="17" t="s">
        <v>37</v>
      </c>
      <c r="D28" s="18">
        <f>'2022 г. '!D28</f>
        <v>194922</v>
      </c>
      <c r="E28" s="18">
        <f>'2022 г. '!E28</f>
        <v>200999.5</v>
      </c>
      <c r="F28" s="198">
        <f t="shared" si="2"/>
        <v>103.1</v>
      </c>
      <c r="G28" s="18">
        <f t="shared" si="1"/>
        <v>6077.5</v>
      </c>
      <c r="H28" s="18">
        <f>'2022 г. '!H28</f>
        <v>183154.59099999999</v>
      </c>
      <c r="I28" s="204">
        <f t="shared" si="3"/>
        <v>109.7</v>
      </c>
      <c r="J28" t="s">
        <v>22</v>
      </c>
    </row>
    <row r="29" spans="1:12" ht="19.5" customHeight="1">
      <c r="A29" s="17" t="s">
        <v>41</v>
      </c>
      <c r="B29" s="20" t="s">
        <v>42</v>
      </c>
      <c r="C29" s="17" t="s">
        <v>37</v>
      </c>
      <c r="D29" s="34">
        <f>'2022 г. '!D29</f>
        <v>6600</v>
      </c>
      <c r="E29" s="34">
        <f>'2022 г. '!E29</f>
        <v>6879.451</v>
      </c>
      <c r="F29" s="18">
        <f t="shared" si="2"/>
        <v>104.2</v>
      </c>
      <c r="G29" s="18" t="s">
        <v>73</v>
      </c>
      <c r="H29" s="18">
        <f>'2022 г. '!H29</f>
        <v>6600</v>
      </c>
      <c r="I29" s="18">
        <f>IF(H29&gt;0,ROUND(E29/H29*100,1),0)</f>
        <v>104.2</v>
      </c>
      <c r="J29" t="s">
        <v>22</v>
      </c>
    </row>
    <row r="30" spans="1:12" ht="21.75" customHeight="1">
      <c r="A30" s="295" t="s">
        <v>43</v>
      </c>
      <c r="B30" s="296"/>
      <c r="C30" s="296"/>
      <c r="D30" s="296"/>
      <c r="E30" s="296"/>
      <c r="F30" s="296"/>
      <c r="G30" s="296"/>
      <c r="H30" s="296"/>
      <c r="I30" s="296"/>
    </row>
    <row r="31" spans="1:12" ht="24" hidden="1" customHeight="1" outlineLevel="1">
      <c r="A31" s="17" t="s">
        <v>44</v>
      </c>
      <c r="B31" s="93" t="s">
        <v>209</v>
      </c>
      <c r="C31" s="17" t="s">
        <v>37</v>
      </c>
      <c r="D31" s="23"/>
      <c r="E31" s="18"/>
      <c r="F31" s="23"/>
      <c r="G31" s="18">
        <f t="shared" si="1"/>
        <v>0</v>
      </c>
      <c r="H31" s="18">
        <f>0.495*1000</f>
        <v>495</v>
      </c>
      <c r="I31" s="18">
        <f>IF(H31&gt;0,ROUND(E31/H31*100,1),0)</f>
        <v>0</v>
      </c>
      <c r="J31" s="24" t="s">
        <v>46</v>
      </c>
    </row>
    <row r="32" spans="1:12" ht="15.75" hidden="1" outlineLevel="1">
      <c r="A32" s="15" t="s">
        <v>47</v>
      </c>
      <c r="B32" s="16" t="s">
        <v>48</v>
      </c>
      <c r="C32" s="17" t="s">
        <v>37</v>
      </c>
      <c r="D32" s="23"/>
      <c r="E32" s="23"/>
      <c r="F32" s="23"/>
      <c r="G32" s="25"/>
      <c r="H32" s="18"/>
      <c r="I32" s="18">
        <f>IF(H32&gt;0,ROUND(E32/H32*100,1),0)</f>
        <v>0</v>
      </c>
    </row>
    <row r="33" spans="1:11" ht="15.75" collapsed="1">
      <c r="A33" s="15" t="s">
        <v>49</v>
      </c>
      <c r="B33" s="52" t="s">
        <v>50</v>
      </c>
      <c r="C33" s="17" t="s">
        <v>37</v>
      </c>
      <c r="D33" s="26">
        <f>'2022 г. '!D33</f>
        <v>162590.66799999998</v>
      </c>
      <c r="E33" s="26">
        <f>'2022 г. '!E33</f>
        <v>191961.02100000004</v>
      </c>
      <c r="F33" s="26">
        <f>ROUND(E33/D33*100,1)</f>
        <v>118.1</v>
      </c>
      <c r="G33" s="26">
        <f t="shared" ref="G33:G39" si="4">E33-D33</f>
        <v>29370.353000000061</v>
      </c>
      <c r="H33" s="26">
        <f>H39</f>
        <v>146958</v>
      </c>
      <c r="I33" s="26">
        <f>IF(H33&gt;0,ROUND(E33/H33*100,1),0)</f>
        <v>130.6</v>
      </c>
      <c r="J33" t="s">
        <v>51</v>
      </c>
    </row>
    <row r="34" spans="1:11" ht="15.75">
      <c r="A34" s="15"/>
      <c r="B34" s="16" t="s">
        <v>52</v>
      </c>
      <c r="C34" s="17" t="s">
        <v>37</v>
      </c>
      <c r="D34" s="26">
        <f>'2022 г. '!D34</f>
        <v>0</v>
      </c>
      <c r="E34" s="26">
        <f>'2022 г. '!E34</f>
        <v>0</v>
      </c>
      <c r="F34" s="27"/>
      <c r="G34" s="27">
        <f t="shared" si="4"/>
        <v>0</v>
      </c>
      <c r="H34" s="28"/>
      <c r="I34" s="28"/>
    </row>
    <row r="35" spans="1:11" ht="15.75">
      <c r="A35" s="15"/>
      <c r="B35" s="29" t="s">
        <v>53</v>
      </c>
      <c r="C35" s="17" t="s">
        <v>37</v>
      </c>
      <c r="D35" s="26">
        <f>D38</f>
        <v>29920.600000000006</v>
      </c>
      <c r="E35" s="26">
        <f>'2022 г. '!E35</f>
        <v>55468.876000000047</v>
      </c>
      <c r="F35" s="28">
        <f>ROUND(E35/D35*100,1)</f>
        <v>185.4</v>
      </c>
      <c r="G35" s="28">
        <f t="shared" si="4"/>
        <v>25548.276000000042</v>
      </c>
      <c r="H35" s="18"/>
      <c r="I35" s="28">
        <f>IF(H35&gt;0,ROUND(E35/H35*100,1),0)</f>
        <v>0</v>
      </c>
      <c r="J35" t="s">
        <v>51</v>
      </c>
    </row>
    <row r="36" spans="1:11" ht="15.75">
      <c r="A36" s="15"/>
      <c r="B36" s="29" t="s">
        <v>54</v>
      </c>
      <c r="C36" s="17" t="s">
        <v>37</v>
      </c>
      <c r="D36" s="18" t="s">
        <v>73</v>
      </c>
      <c r="E36" s="18" t="s">
        <v>73</v>
      </c>
      <c r="F36" s="18" t="s">
        <v>73</v>
      </c>
      <c r="G36" s="18" t="s">
        <v>73</v>
      </c>
      <c r="H36" s="18" t="s">
        <v>73</v>
      </c>
      <c r="I36" s="18" t="s">
        <v>73</v>
      </c>
    </row>
    <row r="37" spans="1:11" ht="15.75">
      <c r="A37" s="15"/>
      <c r="B37" s="30" t="s">
        <v>55</v>
      </c>
      <c r="C37" s="17" t="s">
        <v>37</v>
      </c>
      <c r="D37" s="18" t="s">
        <v>73</v>
      </c>
      <c r="E37" s="18" t="s">
        <v>73</v>
      </c>
      <c r="F37" s="18" t="s">
        <v>73</v>
      </c>
      <c r="G37" s="18" t="s">
        <v>73</v>
      </c>
      <c r="H37" s="18" t="s">
        <v>73</v>
      </c>
      <c r="I37" s="18" t="s">
        <v>73</v>
      </c>
    </row>
    <row r="38" spans="1:11" ht="15.75">
      <c r="A38" s="15"/>
      <c r="B38" s="30" t="s">
        <v>56</v>
      </c>
      <c r="C38" s="17" t="s">
        <v>37</v>
      </c>
      <c r="D38" s="26">
        <f>D89</f>
        <v>29920.600000000006</v>
      </c>
      <c r="E38" s="26">
        <f>'2022 г. '!E38</f>
        <v>0</v>
      </c>
      <c r="F38" s="28">
        <f>ROUND(E38/D38*100,1)</f>
        <v>0</v>
      </c>
      <c r="G38" s="28">
        <f t="shared" si="4"/>
        <v>-29920.600000000006</v>
      </c>
      <c r="H38" s="18"/>
      <c r="I38" s="28"/>
    </row>
    <row r="39" spans="1:11" ht="15.75">
      <c r="A39" s="15"/>
      <c r="B39" s="29" t="s">
        <v>57</v>
      </c>
      <c r="C39" s="17" t="s">
        <v>37</v>
      </c>
      <c r="D39" s="26">
        <f>D130</f>
        <v>148500.82199999999</v>
      </c>
      <c r="E39" s="26">
        <f>'2022 г. '!E39</f>
        <v>136492.14499999999</v>
      </c>
      <c r="F39" s="28">
        <f>ROUND(E39/D39*100,1)</f>
        <v>91.9</v>
      </c>
      <c r="G39" s="28">
        <f t="shared" si="4"/>
        <v>-12008.676999999996</v>
      </c>
      <c r="H39" s="18">
        <v>146958</v>
      </c>
      <c r="I39" s="28">
        <f>IF(H39&gt;0,ROUND(E39/H39*100,1),0)</f>
        <v>92.9</v>
      </c>
      <c r="J39" t="s">
        <v>58</v>
      </c>
      <c r="K39" s="95">
        <v>34799.205999999998</v>
      </c>
    </row>
    <row r="40" spans="1:11" ht="15.75">
      <c r="A40" s="15"/>
      <c r="B40" s="50" t="s">
        <v>59</v>
      </c>
      <c r="C40" s="17" t="s">
        <v>37</v>
      </c>
      <c r="D40" s="18" t="s">
        <v>73</v>
      </c>
      <c r="E40" s="18" t="s">
        <v>73</v>
      </c>
      <c r="F40" s="18" t="s">
        <v>73</v>
      </c>
      <c r="G40" s="18" t="s">
        <v>73</v>
      </c>
      <c r="H40" s="18" t="s">
        <v>73</v>
      </c>
      <c r="I40" s="18" t="s">
        <v>73</v>
      </c>
    </row>
    <row r="41" spans="1:11" ht="33.75" customHeight="1">
      <c r="A41" s="51"/>
      <c r="B41" s="50" t="s">
        <v>60</v>
      </c>
      <c r="C41" s="17" t="s">
        <v>37</v>
      </c>
      <c r="D41" s="18" t="s">
        <v>73</v>
      </c>
      <c r="E41" s="18" t="s">
        <v>73</v>
      </c>
      <c r="F41" s="18" t="s">
        <v>73</v>
      </c>
      <c r="G41" s="18" t="s">
        <v>73</v>
      </c>
      <c r="H41" s="18" t="s">
        <v>73</v>
      </c>
      <c r="I41" s="18" t="s">
        <v>73</v>
      </c>
      <c r="J41" t="s">
        <v>51</v>
      </c>
    </row>
    <row r="42" spans="1:11" ht="15.75">
      <c r="A42" s="15"/>
      <c r="B42" s="29" t="s">
        <v>61</v>
      </c>
      <c r="C42" s="17" t="s">
        <v>37</v>
      </c>
      <c r="D42" s="18" t="s">
        <v>73</v>
      </c>
      <c r="E42" s="18" t="s">
        <v>73</v>
      </c>
      <c r="F42" s="18" t="s">
        <v>73</v>
      </c>
      <c r="G42" s="18" t="s">
        <v>73</v>
      </c>
      <c r="H42" s="18" t="s">
        <v>73</v>
      </c>
      <c r="I42" s="18" t="s">
        <v>73</v>
      </c>
    </row>
    <row r="43" spans="1:11" ht="15.75">
      <c r="A43" s="15"/>
      <c r="B43" s="50" t="s">
        <v>62</v>
      </c>
      <c r="C43" s="17" t="s">
        <v>37</v>
      </c>
      <c r="D43" s="18" t="s">
        <v>73</v>
      </c>
      <c r="E43" s="18" t="s">
        <v>73</v>
      </c>
      <c r="F43" s="18" t="s">
        <v>73</v>
      </c>
      <c r="G43" s="18" t="s">
        <v>73</v>
      </c>
      <c r="H43" s="18" t="s">
        <v>73</v>
      </c>
      <c r="I43" s="18" t="s">
        <v>73</v>
      </c>
    </row>
    <row r="44" spans="1:11" ht="15.75">
      <c r="A44" s="15"/>
      <c r="B44" s="50" t="s">
        <v>63</v>
      </c>
      <c r="C44" s="17" t="s">
        <v>37</v>
      </c>
      <c r="D44" s="18" t="s">
        <v>73</v>
      </c>
      <c r="E44" s="18" t="s">
        <v>73</v>
      </c>
      <c r="F44" s="18" t="s">
        <v>73</v>
      </c>
      <c r="G44" s="18" t="s">
        <v>73</v>
      </c>
      <c r="H44" s="18" t="s">
        <v>73</v>
      </c>
      <c r="I44" s="18" t="s">
        <v>73</v>
      </c>
    </row>
    <row r="45" spans="1:11" ht="15.75" customHeight="1">
      <c r="A45" s="15"/>
      <c r="B45" s="29" t="s">
        <v>64</v>
      </c>
      <c r="C45" s="17" t="s">
        <v>37</v>
      </c>
      <c r="D45" s="18" t="s">
        <v>73</v>
      </c>
      <c r="E45" s="18" t="s">
        <v>73</v>
      </c>
      <c r="F45" s="18" t="s">
        <v>73</v>
      </c>
      <c r="G45" s="18" t="s">
        <v>73</v>
      </c>
      <c r="H45" s="18" t="s">
        <v>73</v>
      </c>
      <c r="I45" s="18" t="s">
        <v>73</v>
      </c>
    </row>
    <row r="46" spans="1:11" ht="47.25" hidden="1" outlineLevel="1">
      <c r="A46" s="15"/>
      <c r="B46" s="16" t="s">
        <v>65</v>
      </c>
      <c r="C46" s="17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1" ht="15.75" collapsed="1">
      <c r="A47" s="293" t="s">
        <v>66</v>
      </c>
      <c r="B47" s="293"/>
      <c r="C47" s="293"/>
      <c r="D47" s="293"/>
      <c r="E47" s="293"/>
      <c r="F47" s="293"/>
      <c r="G47" s="293"/>
      <c r="H47" s="293"/>
      <c r="I47" s="293"/>
    </row>
    <row r="48" spans="1:11" ht="15.75">
      <c r="A48" s="15" t="s">
        <v>67</v>
      </c>
      <c r="B48" s="52" t="s">
        <v>68</v>
      </c>
      <c r="C48" s="15"/>
      <c r="D48" s="18" t="s">
        <v>73</v>
      </c>
      <c r="E48" s="18" t="s">
        <v>73</v>
      </c>
      <c r="F48" s="18" t="s">
        <v>73</v>
      </c>
      <c r="G48" s="18" t="s">
        <v>73</v>
      </c>
      <c r="H48" s="18" t="s">
        <v>73</v>
      </c>
      <c r="I48" s="18" t="s">
        <v>73</v>
      </c>
    </row>
    <row r="49" spans="1:10" ht="15.75" hidden="1" outlineLevel="1">
      <c r="A49" s="15"/>
      <c r="B49" s="16" t="s">
        <v>69</v>
      </c>
      <c r="C49" s="17" t="s">
        <v>70</v>
      </c>
      <c r="D49" s="18" t="s">
        <v>73</v>
      </c>
      <c r="E49" s="18" t="s">
        <v>73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0" ht="15.75" hidden="1" outlineLevel="1">
      <c r="A50" s="15"/>
      <c r="B50" s="15" t="s">
        <v>12</v>
      </c>
      <c r="C50" s="17"/>
      <c r="D50" s="18" t="s">
        <v>73</v>
      </c>
      <c r="E50" s="18" t="s">
        <v>73</v>
      </c>
      <c r="F50" s="53"/>
      <c r="G50" s="53"/>
      <c r="H50" s="53"/>
      <c r="I50" s="53"/>
    </row>
    <row r="51" spans="1:10" ht="15.75" collapsed="1">
      <c r="A51" s="15"/>
      <c r="B51" s="29" t="s">
        <v>71</v>
      </c>
      <c r="C51" s="17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54" t="s">
        <v>73</v>
      </c>
      <c r="I51" s="18" t="s">
        <v>73</v>
      </c>
    </row>
    <row r="52" spans="1:10" ht="15.75" hidden="1" outlineLevel="1">
      <c r="A52" s="15"/>
      <c r="B52" s="16" t="s">
        <v>74</v>
      </c>
      <c r="C52" s="17" t="s">
        <v>70</v>
      </c>
      <c r="D52" s="18" t="s">
        <v>73</v>
      </c>
      <c r="E52" s="18" t="s">
        <v>73</v>
      </c>
      <c r="F52" s="23"/>
      <c r="G52" s="23"/>
      <c r="H52" s="53"/>
      <c r="I52" s="23">
        <f>IF(H52&gt;0,ROUND(E52/H52*100,1),0)</f>
        <v>0</v>
      </c>
    </row>
    <row r="53" spans="1:10" ht="15.75" hidden="1" outlineLevel="1">
      <c r="A53" s="15"/>
      <c r="B53" s="16" t="s">
        <v>75</v>
      </c>
      <c r="C53" s="17" t="s">
        <v>70</v>
      </c>
      <c r="D53" s="18" t="s">
        <v>73</v>
      </c>
      <c r="E53" s="18" t="s">
        <v>73</v>
      </c>
      <c r="F53" s="23"/>
      <c r="G53" s="23"/>
      <c r="H53" s="23"/>
      <c r="I53" s="23">
        <f>IF(H53&gt;0,ROUND(E53/H53*100,1),0)</f>
        <v>0</v>
      </c>
    </row>
    <row r="54" spans="1:10" ht="15.75" collapsed="1">
      <c r="A54" s="15" t="s">
        <v>76</v>
      </c>
      <c r="B54" s="52" t="s">
        <v>77</v>
      </c>
      <c r="C54" s="17"/>
      <c r="D54" s="18" t="s">
        <v>73</v>
      </c>
      <c r="E54" s="18" t="s">
        <v>73</v>
      </c>
      <c r="F54" s="18" t="s">
        <v>73</v>
      </c>
      <c r="G54" s="18" t="s">
        <v>73</v>
      </c>
      <c r="H54" s="18" t="s">
        <v>73</v>
      </c>
      <c r="I54" s="18" t="s">
        <v>73</v>
      </c>
    </row>
    <row r="55" spans="1:10" ht="15.75">
      <c r="A55" s="15"/>
      <c r="B55" s="29" t="s">
        <v>78</v>
      </c>
      <c r="C55" s="17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0" ht="15.75" hidden="1" outlineLevel="1">
      <c r="A56" s="15"/>
      <c r="B56" s="16" t="s">
        <v>80</v>
      </c>
      <c r="C56" s="17" t="s">
        <v>81</v>
      </c>
      <c r="D56" s="55"/>
      <c r="E56" s="53"/>
      <c r="F56" s="53"/>
      <c r="G56" s="53"/>
      <c r="H56" s="53"/>
      <c r="I56" s="53"/>
    </row>
    <row r="57" spans="1:10" ht="24.75" hidden="1" customHeight="1" outlineLevel="1">
      <c r="A57" s="15"/>
      <c r="B57" s="16" t="s">
        <v>82</v>
      </c>
      <c r="C57" s="17" t="s">
        <v>81</v>
      </c>
      <c r="D57" s="56">
        <v>0</v>
      </c>
      <c r="E57" s="56"/>
      <c r="F57" s="56"/>
      <c r="G57" s="56"/>
      <c r="H57" s="56"/>
      <c r="I57" s="56"/>
    </row>
    <row r="58" spans="1:10" ht="15.75" collapsed="1">
      <c r="A58" s="294" t="s">
        <v>83</v>
      </c>
      <c r="B58" s="294"/>
      <c r="C58" s="294"/>
      <c r="D58" s="294"/>
      <c r="E58" s="294"/>
      <c r="F58" s="294"/>
      <c r="G58" s="294"/>
      <c r="H58" s="294"/>
      <c r="I58" s="294"/>
    </row>
    <row r="59" spans="1:10" ht="15.75">
      <c r="A59" s="15" t="s">
        <v>84</v>
      </c>
      <c r="B59" s="16" t="s">
        <v>85</v>
      </c>
      <c r="C59" s="17" t="s">
        <v>86</v>
      </c>
      <c r="D59" s="57">
        <f>'2022 г. '!D59</f>
        <v>6015</v>
      </c>
      <c r="E59" s="57">
        <f>'2022 г. '!E59</f>
        <v>5682</v>
      </c>
      <c r="F59" s="28">
        <f>ROUND(E59/D59*100,1)</f>
        <v>94.5</v>
      </c>
      <c r="G59" s="28">
        <f>E59-D59</f>
        <v>-333</v>
      </c>
      <c r="H59" s="18">
        <v>6055</v>
      </c>
      <c r="I59" s="28">
        <f t="shared" ref="I59:I64" si="5">IF(H59&gt;0,ROUND(E59/H59*100,1),0)</f>
        <v>93.8</v>
      </c>
      <c r="J59" t="s">
        <v>87</v>
      </c>
    </row>
    <row r="60" spans="1:10" ht="31.5" hidden="1" outlineLevel="1">
      <c r="A60" s="15" t="s">
        <v>88</v>
      </c>
      <c r="B60" s="16" t="s">
        <v>89</v>
      </c>
      <c r="C60" s="17" t="s">
        <v>90</v>
      </c>
      <c r="D60" s="57">
        <f>'2022 г. '!D60</f>
        <v>0</v>
      </c>
      <c r="E60" s="57">
        <f>'2022 г. '!E60</f>
        <v>0</v>
      </c>
      <c r="F60" s="28" t="e">
        <f>ROUND(E60/D60*100,1)</f>
        <v>#DIV/0!</v>
      </c>
      <c r="G60" s="28"/>
      <c r="H60" s="18">
        <v>0</v>
      </c>
      <c r="I60" s="28">
        <f t="shared" si="5"/>
        <v>0</v>
      </c>
    </row>
    <row r="61" spans="1:10" ht="15.75" collapsed="1">
      <c r="A61" s="15" t="s">
        <v>91</v>
      </c>
      <c r="B61" s="16" t="s">
        <v>92</v>
      </c>
      <c r="C61" s="17" t="s">
        <v>37</v>
      </c>
      <c r="D61" s="57">
        <f>'2022 г. '!D61</f>
        <v>280486.40000000002</v>
      </c>
      <c r="E61" s="57">
        <f>'2022 г. '!E61</f>
        <v>287577</v>
      </c>
      <c r="F61" s="28">
        <f>ROUND(E61/D61*100,1)</f>
        <v>102.5</v>
      </c>
      <c r="G61" s="28">
        <f>E61-D61</f>
        <v>7090.5999999999767</v>
      </c>
      <c r="H61" s="18">
        <v>203069.3</v>
      </c>
      <c r="I61" s="28">
        <f t="shared" si="5"/>
        <v>141.6</v>
      </c>
      <c r="J61" t="s">
        <v>87</v>
      </c>
    </row>
    <row r="62" spans="1:10" ht="15.75">
      <c r="A62" s="15" t="s">
        <v>93</v>
      </c>
      <c r="B62" s="16" t="s">
        <v>94</v>
      </c>
      <c r="C62" s="17" t="s">
        <v>95</v>
      </c>
      <c r="D62" s="57">
        <f>'2022 г. '!D62</f>
        <v>3885.9</v>
      </c>
      <c r="E62" s="57">
        <f>'2022 г. '!E62</f>
        <v>4183.5</v>
      </c>
      <c r="F62" s="28">
        <f>ROUND(E62/D62*100,1)</f>
        <v>107.7</v>
      </c>
      <c r="G62" s="28">
        <f>E62-D62</f>
        <v>297.59999999999991</v>
      </c>
      <c r="H62" s="18">
        <v>2788.6</v>
      </c>
      <c r="I62" s="28">
        <f t="shared" si="5"/>
        <v>150</v>
      </c>
      <c r="J62" t="s">
        <v>87</v>
      </c>
    </row>
    <row r="63" spans="1:10" ht="15.75">
      <c r="A63" s="15" t="s">
        <v>96</v>
      </c>
      <c r="B63" s="16" t="s">
        <v>97</v>
      </c>
      <c r="C63" s="17" t="s">
        <v>37</v>
      </c>
      <c r="D63" s="18" t="s">
        <v>73</v>
      </c>
      <c r="E63" s="57">
        <f>'2022 г. '!E63</f>
        <v>981699</v>
      </c>
      <c r="F63" s="18" t="s">
        <v>73</v>
      </c>
      <c r="G63" s="18" t="s">
        <v>73</v>
      </c>
      <c r="H63" s="18">
        <v>1192285</v>
      </c>
      <c r="I63" s="18">
        <f t="shared" si="5"/>
        <v>82.3</v>
      </c>
      <c r="J63" t="s">
        <v>58</v>
      </c>
    </row>
    <row r="64" spans="1:10" ht="15.75" hidden="1" outlineLevel="1">
      <c r="A64" s="15" t="s">
        <v>98</v>
      </c>
      <c r="B64" s="16" t="s">
        <v>99</v>
      </c>
      <c r="C64" s="17" t="s">
        <v>37</v>
      </c>
      <c r="D64" s="57">
        <f>'2022 г. '!D64</f>
        <v>0</v>
      </c>
      <c r="E64" s="57">
        <f>'2022 г. '!E64</f>
        <v>0</v>
      </c>
      <c r="F64" s="59"/>
      <c r="G64" s="58"/>
      <c r="H64" s="18">
        <v>0</v>
      </c>
      <c r="I64" s="59">
        <f t="shared" si="5"/>
        <v>0</v>
      </c>
      <c r="J64" s="31"/>
    </row>
    <row r="65" spans="1:13" ht="15.75" collapsed="1">
      <c r="A65" s="15" t="s">
        <v>100</v>
      </c>
      <c r="B65" s="16" t="s">
        <v>101</v>
      </c>
      <c r="C65" s="17" t="s">
        <v>102</v>
      </c>
      <c r="D65" s="57">
        <f>'2022 г. '!D65</f>
        <v>156902.48000000001</v>
      </c>
      <c r="E65" s="57">
        <f>'2022 г. '!E65</f>
        <v>131572.17000000001</v>
      </c>
      <c r="F65" s="28">
        <f>ROUND(E65/D65*100,1)</f>
        <v>83.9</v>
      </c>
      <c r="G65" s="28">
        <f>E65-D65</f>
        <v>-25330.309999999998</v>
      </c>
      <c r="H65" s="18">
        <v>142485.34</v>
      </c>
      <c r="I65" s="28">
        <f>ROUND(E65/H65*100,1)</f>
        <v>92.3</v>
      </c>
      <c r="J65" t="s">
        <v>103</v>
      </c>
    </row>
    <row r="66" spans="1:13" ht="15.75" hidden="1" outlineLevel="1">
      <c r="A66" s="15"/>
      <c r="B66" s="15" t="s">
        <v>12</v>
      </c>
      <c r="C66" s="17"/>
      <c r="D66" s="53"/>
      <c r="E66" s="53"/>
      <c r="F66" s="53"/>
      <c r="G66" s="53"/>
      <c r="H66" s="53"/>
      <c r="I66" s="53"/>
    </row>
    <row r="67" spans="1:13" ht="15.75" hidden="1" outlineLevel="1">
      <c r="A67" s="15"/>
      <c r="B67" s="16" t="s">
        <v>104</v>
      </c>
      <c r="C67" s="17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15"/>
      <c r="B68" s="16" t="s">
        <v>105</v>
      </c>
      <c r="C68" s="17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94" t="s">
        <v>106</v>
      </c>
      <c r="B69" s="294"/>
      <c r="C69" s="294"/>
      <c r="D69" s="294"/>
      <c r="E69" s="294"/>
      <c r="F69" s="294"/>
      <c r="G69" s="294"/>
      <c r="H69" s="294"/>
      <c r="I69" s="294"/>
    </row>
    <row r="70" spans="1:13" ht="15.75">
      <c r="A70" s="15" t="s">
        <v>107</v>
      </c>
      <c r="B70" s="16" t="s">
        <v>108</v>
      </c>
      <c r="C70" s="17" t="s">
        <v>37</v>
      </c>
      <c r="D70" s="28">
        <v>1012927.9</v>
      </c>
      <c r="E70" s="28">
        <f>'2022 г. '!E70</f>
        <v>1244877</v>
      </c>
      <c r="F70" s="18">
        <f t="shared" ref="F70:F95" si="6">ROUND(E70/D70*100,1)</f>
        <v>122.9</v>
      </c>
      <c r="G70" s="18">
        <f t="shared" ref="G70:G96" si="7">E70-D70</f>
        <v>231949.09999999998</v>
      </c>
      <c r="H70" s="18">
        <v>690930.3</v>
      </c>
      <c r="I70" s="18">
        <f t="shared" ref="I70:I85" si="8">ROUND(E70/H70*100,1)</f>
        <v>180.2</v>
      </c>
      <c r="J70" t="s">
        <v>103</v>
      </c>
      <c r="M70">
        <f>1759313-152984-76292-1017231</f>
        <v>512806</v>
      </c>
    </row>
    <row r="71" spans="1:13" ht="15.75">
      <c r="A71" s="15" t="s">
        <v>109</v>
      </c>
      <c r="B71" s="16" t="s">
        <v>110</v>
      </c>
      <c r="C71" s="17" t="s">
        <v>37</v>
      </c>
      <c r="D71" s="28">
        <v>720338.4</v>
      </c>
      <c r="E71" s="28">
        <f>'2022 г. '!E71</f>
        <v>735937</v>
      </c>
      <c r="F71" s="18">
        <f t="shared" si="6"/>
        <v>102.2</v>
      </c>
      <c r="G71" s="18">
        <f t="shared" si="7"/>
        <v>15598.599999999977</v>
      </c>
      <c r="H71" s="18">
        <v>554905.9</v>
      </c>
      <c r="I71" s="18">
        <f t="shared" si="8"/>
        <v>132.6</v>
      </c>
      <c r="J71" t="s">
        <v>103</v>
      </c>
    </row>
    <row r="72" spans="1:13" ht="15.75">
      <c r="A72" s="15" t="s">
        <v>111</v>
      </c>
      <c r="B72" s="16" t="s">
        <v>112</v>
      </c>
      <c r="C72" s="17" t="s">
        <v>37</v>
      </c>
      <c r="D72" s="28">
        <f>D70-D71</f>
        <v>292589.5</v>
      </c>
      <c r="E72" s="28">
        <f>E70-E71</f>
        <v>508940</v>
      </c>
      <c r="F72" s="34">
        <f t="shared" si="6"/>
        <v>173.9</v>
      </c>
      <c r="G72" s="18">
        <f t="shared" si="7"/>
        <v>216350.5</v>
      </c>
      <c r="H72" s="18">
        <v>136024.40000000002</v>
      </c>
      <c r="I72" s="34">
        <f t="shared" si="8"/>
        <v>374.2</v>
      </c>
      <c r="J72" t="s">
        <v>103</v>
      </c>
      <c r="M72" s="11">
        <f>D72-D73</f>
        <v>168920.6</v>
      </c>
    </row>
    <row r="73" spans="1:13" ht="15.75">
      <c r="A73" s="15"/>
      <c r="B73" s="52" t="s">
        <v>113</v>
      </c>
      <c r="C73" s="17" t="s">
        <v>37</v>
      </c>
      <c r="D73" s="28">
        <f>D74+D75+D76</f>
        <v>123668.9</v>
      </c>
      <c r="E73" s="28">
        <f>E74+E75+E76</f>
        <v>293618.34699999995</v>
      </c>
      <c r="F73" s="6">
        <f t="shared" si="6"/>
        <v>237.4</v>
      </c>
      <c r="G73" s="6">
        <f t="shared" si="7"/>
        <v>169949.44699999996</v>
      </c>
      <c r="H73" s="26">
        <v>190151.6</v>
      </c>
      <c r="I73" s="6">
        <f t="shared" si="8"/>
        <v>154.4</v>
      </c>
      <c r="J73" t="s">
        <v>103</v>
      </c>
      <c r="M73" s="11">
        <f>M72+D77</f>
        <v>168920.6</v>
      </c>
    </row>
    <row r="74" spans="1:13" ht="15.75">
      <c r="A74" s="15"/>
      <c r="B74" s="61" t="s">
        <v>114</v>
      </c>
      <c r="C74" s="17" t="s">
        <v>37</v>
      </c>
      <c r="D74" s="28">
        <v>4896</v>
      </c>
      <c r="E74" s="28">
        <f>'2022 г. '!E74</f>
        <v>11346.853999999999</v>
      </c>
      <c r="F74" s="34">
        <f t="shared" si="6"/>
        <v>231.8</v>
      </c>
      <c r="G74" s="18">
        <f t="shared" si="7"/>
        <v>6450.8539999999994</v>
      </c>
      <c r="H74" s="18">
        <v>30401.8</v>
      </c>
      <c r="I74" s="34">
        <f t="shared" si="8"/>
        <v>37.299999999999997</v>
      </c>
      <c r="J74" t="s">
        <v>103</v>
      </c>
    </row>
    <row r="75" spans="1:13" ht="15.75">
      <c r="A75" s="15"/>
      <c r="B75" s="61" t="s">
        <v>115</v>
      </c>
      <c r="C75" s="17" t="s">
        <v>37</v>
      </c>
      <c r="D75" s="28">
        <v>49162.9</v>
      </c>
      <c r="E75" s="28">
        <f>'2022 г. '!E75</f>
        <v>57456</v>
      </c>
      <c r="F75" s="18">
        <f t="shared" si="6"/>
        <v>116.9</v>
      </c>
      <c r="G75" s="18">
        <f t="shared" si="7"/>
        <v>8293.0999999999985</v>
      </c>
      <c r="H75" s="18">
        <v>46496</v>
      </c>
      <c r="I75" s="18">
        <f t="shared" si="8"/>
        <v>123.6</v>
      </c>
      <c r="J75" t="s">
        <v>103</v>
      </c>
    </row>
    <row r="76" spans="1:13" ht="15.75">
      <c r="A76" s="15"/>
      <c r="B76" s="61" t="s">
        <v>116</v>
      </c>
      <c r="C76" s="17" t="s">
        <v>37</v>
      </c>
      <c r="D76" s="28">
        <v>69610</v>
      </c>
      <c r="E76" s="28">
        <f>'2022 г. '!E76</f>
        <v>224815.49299999999</v>
      </c>
      <c r="F76" s="18">
        <f t="shared" si="6"/>
        <v>323</v>
      </c>
      <c r="G76" s="18">
        <f t="shared" si="7"/>
        <v>155205.49299999999</v>
      </c>
      <c r="H76" s="18">
        <v>113253.8</v>
      </c>
      <c r="I76" s="18">
        <f t="shared" si="8"/>
        <v>198.5</v>
      </c>
      <c r="J76" t="s">
        <v>103</v>
      </c>
    </row>
    <row r="77" spans="1:13" ht="15.75">
      <c r="A77" s="15"/>
      <c r="B77" s="16" t="s">
        <v>117</v>
      </c>
      <c r="C77" s="17" t="s">
        <v>37</v>
      </c>
      <c r="D77" s="28"/>
      <c r="E77" s="28">
        <f>'2022 г. '!E77</f>
        <v>19644.62</v>
      </c>
      <c r="F77" s="18"/>
      <c r="G77" s="18">
        <f t="shared" si="7"/>
        <v>19644.62</v>
      </c>
      <c r="H77" s="18">
        <v>0</v>
      </c>
      <c r="I77" s="18"/>
      <c r="J77" t="s">
        <v>103</v>
      </c>
    </row>
    <row r="78" spans="1:13" ht="15.75">
      <c r="A78" s="15"/>
      <c r="B78" s="16" t="s">
        <v>118</v>
      </c>
      <c r="C78" s="17" t="s">
        <v>37</v>
      </c>
      <c r="D78" s="28">
        <v>139000</v>
      </c>
      <c r="E78" s="28">
        <f>'2022 г. '!E79</f>
        <v>220917</v>
      </c>
      <c r="F78" s="18">
        <f t="shared" si="6"/>
        <v>158.9</v>
      </c>
      <c r="G78" s="18">
        <f t="shared" si="7"/>
        <v>81917</v>
      </c>
      <c r="H78" s="18">
        <v>129684.3</v>
      </c>
      <c r="I78" s="18">
        <f t="shared" si="8"/>
        <v>170.3</v>
      </c>
      <c r="J78" t="s">
        <v>103</v>
      </c>
    </row>
    <row r="79" spans="1:13" ht="15.75" hidden="1" outlineLevel="1">
      <c r="A79" s="15"/>
      <c r="B79" s="16" t="s">
        <v>119</v>
      </c>
      <c r="C79" s="17" t="s">
        <v>37</v>
      </c>
      <c r="D79" s="28"/>
      <c r="E79" s="28"/>
      <c r="F79" s="18" t="e">
        <f t="shared" si="6"/>
        <v>#DIV/0!</v>
      </c>
      <c r="G79" s="18">
        <f t="shared" si="7"/>
        <v>0</v>
      </c>
      <c r="H79" s="58">
        <v>0</v>
      </c>
      <c r="I79" s="18" t="e">
        <f t="shared" si="8"/>
        <v>#DIV/0!</v>
      </c>
    </row>
    <row r="80" spans="1:13" ht="15.75" hidden="1" outlineLevel="1">
      <c r="A80" s="15"/>
      <c r="B80" s="16" t="s">
        <v>120</v>
      </c>
      <c r="C80" s="17" t="s">
        <v>37</v>
      </c>
      <c r="D80" s="28"/>
      <c r="E80" s="28"/>
      <c r="F80" s="18" t="e">
        <f t="shared" si="6"/>
        <v>#DIV/0!</v>
      </c>
      <c r="G80" s="18">
        <f t="shared" si="7"/>
        <v>0</v>
      </c>
      <c r="H80" s="58">
        <v>0</v>
      </c>
      <c r="I80" s="18" t="e">
        <f t="shared" si="8"/>
        <v>#DIV/0!</v>
      </c>
    </row>
    <row r="81" spans="1:10" ht="15.75" hidden="1" outlineLevel="1">
      <c r="A81" s="15"/>
      <c r="B81" s="16" t="s">
        <v>121</v>
      </c>
      <c r="C81" s="17" t="s">
        <v>37</v>
      </c>
      <c r="D81" s="28"/>
      <c r="E81" s="28"/>
      <c r="F81" s="18" t="e">
        <f t="shared" si="6"/>
        <v>#DIV/0!</v>
      </c>
      <c r="G81" s="18">
        <f t="shared" si="7"/>
        <v>0</v>
      </c>
      <c r="H81" s="58">
        <v>0</v>
      </c>
      <c r="I81" s="18" t="e">
        <f t="shared" si="8"/>
        <v>#DIV/0!</v>
      </c>
    </row>
    <row r="82" spans="1:10" ht="15.75" hidden="1" outlineLevel="1">
      <c r="A82" s="15"/>
      <c r="B82" s="16" t="s">
        <v>122</v>
      </c>
      <c r="C82" s="17" t="s">
        <v>37</v>
      </c>
      <c r="D82" s="28"/>
      <c r="E82" s="28"/>
      <c r="F82" s="18" t="e">
        <f t="shared" si="6"/>
        <v>#DIV/0!</v>
      </c>
      <c r="G82" s="18">
        <f t="shared" si="7"/>
        <v>0</v>
      </c>
      <c r="H82" s="58">
        <v>0</v>
      </c>
      <c r="I82" s="18" t="e">
        <f t="shared" si="8"/>
        <v>#DIV/0!</v>
      </c>
    </row>
    <row r="83" spans="1:10" ht="15.75" hidden="1" outlineLevel="1">
      <c r="A83" s="15"/>
      <c r="B83" s="16" t="s">
        <v>123</v>
      </c>
      <c r="C83" s="17" t="s">
        <v>37</v>
      </c>
      <c r="D83" s="28"/>
      <c r="E83" s="28"/>
      <c r="F83" s="18" t="e">
        <f t="shared" si="6"/>
        <v>#DIV/0!</v>
      </c>
      <c r="G83" s="18">
        <f t="shared" si="7"/>
        <v>0</v>
      </c>
      <c r="H83" s="58">
        <v>0</v>
      </c>
      <c r="I83" s="18" t="e">
        <f t="shared" si="8"/>
        <v>#DIV/0!</v>
      </c>
    </row>
    <row r="84" spans="1:10" ht="15.75" hidden="1" outlineLevel="1">
      <c r="A84" s="15"/>
      <c r="B84" s="16" t="s">
        <v>121</v>
      </c>
      <c r="C84" s="17" t="s">
        <v>37</v>
      </c>
      <c r="D84" s="28"/>
      <c r="E84" s="28"/>
      <c r="F84" s="18" t="e">
        <f t="shared" si="6"/>
        <v>#DIV/0!</v>
      </c>
      <c r="G84" s="18">
        <f t="shared" si="7"/>
        <v>0</v>
      </c>
      <c r="H84" s="58">
        <v>0</v>
      </c>
      <c r="I84" s="18" t="e">
        <f t="shared" si="8"/>
        <v>#DIV/0!</v>
      </c>
    </row>
    <row r="85" spans="1:10" ht="15.75" hidden="1" outlineLevel="1">
      <c r="A85" s="15"/>
      <c r="B85" s="16" t="s">
        <v>122</v>
      </c>
      <c r="C85" s="17" t="s">
        <v>37</v>
      </c>
      <c r="D85" s="28"/>
      <c r="E85" s="28"/>
      <c r="F85" s="18" t="e">
        <f t="shared" si="6"/>
        <v>#DIV/0!</v>
      </c>
      <c r="G85" s="18">
        <f t="shared" si="7"/>
        <v>0</v>
      </c>
      <c r="H85" s="58">
        <v>0</v>
      </c>
      <c r="I85" s="18" t="e">
        <f t="shared" si="8"/>
        <v>#DIV/0!</v>
      </c>
    </row>
    <row r="86" spans="1:10" ht="15.75" hidden="1" outlineLevel="1" collapsed="1">
      <c r="A86" s="15"/>
      <c r="B86" s="16" t="s">
        <v>124</v>
      </c>
      <c r="C86" s="17" t="s">
        <v>37</v>
      </c>
      <c r="D86" s="28"/>
      <c r="E86" s="28"/>
      <c r="F86" s="18" t="e">
        <f t="shared" si="6"/>
        <v>#DIV/0!</v>
      </c>
      <c r="G86" s="18">
        <f t="shared" si="7"/>
        <v>0</v>
      </c>
      <c r="H86" s="58">
        <v>0</v>
      </c>
      <c r="I86" s="18"/>
    </row>
    <row r="87" spans="1:10" ht="15.75" hidden="1" outlineLevel="1">
      <c r="A87" s="15"/>
      <c r="B87" s="16" t="s">
        <v>121</v>
      </c>
      <c r="C87" s="17" t="s">
        <v>37</v>
      </c>
      <c r="D87" s="28"/>
      <c r="E87" s="28"/>
      <c r="F87" s="18" t="e">
        <f t="shared" si="6"/>
        <v>#DIV/0!</v>
      </c>
      <c r="G87" s="18">
        <f t="shared" si="7"/>
        <v>0</v>
      </c>
      <c r="H87" s="58">
        <v>0</v>
      </c>
      <c r="I87" s="18" t="e">
        <f>ROUND(E87/H87*100,1)</f>
        <v>#DIV/0!</v>
      </c>
    </row>
    <row r="88" spans="1:10" ht="15.75" hidden="1" outlineLevel="1">
      <c r="A88" s="15"/>
      <c r="B88" s="16" t="s">
        <v>122</v>
      </c>
      <c r="C88" s="17" t="s">
        <v>37</v>
      </c>
      <c r="D88" s="28"/>
      <c r="E88" s="28"/>
      <c r="F88" s="18" t="e">
        <f t="shared" si="6"/>
        <v>#DIV/0!</v>
      </c>
      <c r="G88" s="18">
        <f t="shared" si="7"/>
        <v>0</v>
      </c>
      <c r="H88" s="58">
        <v>0</v>
      </c>
      <c r="I88" s="18"/>
    </row>
    <row r="89" spans="1:10" ht="15.75" collapsed="1">
      <c r="A89" s="15"/>
      <c r="B89" s="16" t="s">
        <v>125</v>
      </c>
      <c r="C89" s="17" t="s">
        <v>37</v>
      </c>
      <c r="D89" s="28">
        <f>D72-D73-D78</f>
        <v>29920.600000000006</v>
      </c>
      <c r="E89" s="28">
        <f>'2022 г. '!E90</f>
        <v>66188.19100000005</v>
      </c>
      <c r="F89" s="6">
        <f>ROUND(E89/D89*100,1)</f>
        <v>221.2</v>
      </c>
      <c r="G89" s="6">
        <f t="shared" si="7"/>
        <v>36267.591000000044</v>
      </c>
      <c r="H89" s="6">
        <v>-183811.5</v>
      </c>
      <c r="I89" s="6">
        <f t="shared" ref="I89:I96" si="9">ROUND(E89/H89*100,1)</f>
        <v>-36</v>
      </c>
      <c r="J89" t="s">
        <v>103</v>
      </c>
    </row>
    <row r="90" spans="1:10" ht="17.25" hidden="1" customHeight="1" outlineLevel="1">
      <c r="A90" s="15"/>
      <c r="B90" s="16" t="s">
        <v>126</v>
      </c>
      <c r="C90" s="17" t="s">
        <v>37</v>
      </c>
      <c r="D90" s="28"/>
      <c r="E90" s="28">
        <f>'2022 г. '!E91</f>
        <v>0</v>
      </c>
      <c r="F90" s="18"/>
      <c r="G90" s="18">
        <f t="shared" si="7"/>
        <v>0</v>
      </c>
      <c r="H90" s="28"/>
      <c r="I90" s="18" t="e">
        <f t="shared" si="9"/>
        <v>#DIV/0!</v>
      </c>
      <c r="J90" t="s">
        <v>103</v>
      </c>
    </row>
    <row r="91" spans="1:10" ht="17.25" hidden="1" customHeight="1" outlineLevel="1">
      <c r="A91" s="15"/>
      <c r="B91" s="16" t="s">
        <v>127</v>
      </c>
      <c r="C91" s="17" t="s">
        <v>37</v>
      </c>
      <c r="D91" s="28"/>
      <c r="E91" s="28">
        <f>'2022 г. '!E92</f>
        <v>0</v>
      </c>
      <c r="F91" s="18"/>
      <c r="G91" s="18">
        <f t="shared" si="7"/>
        <v>0</v>
      </c>
      <c r="H91" s="33"/>
      <c r="I91" s="18"/>
    </row>
    <row r="92" spans="1:10" ht="15.75" hidden="1" outlineLevel="1">
      <c r="A92" s="15"/>
      <c r="B92" s="16" t="s">
        <v>128</v>
      </c>
      <c r="C92" s="17" t="s">
        <v>37</v>
      </c>
      <c r="D92" s="28"/>
      <c r="E92" s="28">
        <f>'2022 г. '!E93</f>
        <v>0</v>
      </c>
      <c r="F92" s="18">
        <v>0</v>
      </c>
      <c r="G92" s="18">
        <f t="shared" si="7"/>
        <v>0</v>
      </c>
      <c r="H92" s="18"/>
      <c r="I92" s="18"/>
      <c r="J92" t="s">
        <v>103</v>
      </c>
    </row>
    <row r="93" spans="1:10" ht="17.25" customHeight="1" collapsed="1">
      <c r="A93" s="15"/>
      <c r="B93" s="16" t="s">
        <v>129</v>
      </c>
      <c r="C93" s="17" t="s">
        <v>37</v>
      </c>
      <c r="D93" s="28">
        <v>0</v>
      </c>
      <c r="E93" s="28">
        <f>'2022 г. '!E94</f>
        <v>10719.315000000001</v>
      </c>
      <c r="F93" s="18">
        <v>0</v>
      </c>
      <c r="G93" s="18">
        <f t="shared" si="7"/>
        <v>10719.315000000001</v>
      </c>
      <c r="H93" s="18"/>
      <c r="I93" s="18"/>
      <c r="J93" t="s">
        <v>103</v>
      </c>
    </row>
    <row r="94" spans="1:10" ht="15.75" hidden="1" outlineLevel="1">
      <c r="A94" s="15"/>
      <c r="B94" s="16" t="s">
        <v>130</v>
      </c>
      <c r="C94" s="17" t="s">
        <v>37</v>
      </c>
      <c r="D94" s="28"/>
      <c r="E94" s="28">
        <f>'2022 г. '!E95</f>
        <v>0</v>
      </c>
      <c r="F94" s="18"/>
      <c r="G94" s="18">
        <f t="shared" si="7"/>
        <v>0</v>
      </c>
      <c r="H94" s="18"/>
      <c r="I94" s="18"/>
      <c r="J94" t="s">
        <v>103</v>
      </c>
    </row>
    <row r="95" spans="1:10" ht="15.75" hidden="1" outlineLevel="1">
      <c r="A95" s="15"/>
      <c r="B95" s="16" t="s">
        <v>131</v>
      </c>
      <c r="C95" s="17" t="s">
        <v>37</v>
      </c>
      <c r="D95" s="28"/>
      <c r="E95" s="28">
        <f>'2022 г. '!E96</f>
        <v>0</v>
      </c>
      <c r="F95" s="18" t="e">
        <f t="shared" si="6"/>
        <v>#DIV/0!</v>
      </c>
      <c r="G95" s="18">
        <f t="shared" si="7"/>
        <v>0</v>
      </c>
      <c r="H95" s="18"/>
      <c r="I95" s="18" t="e">
        <f t="shared" si="9"/>
        <v>#DIV/0!</v>
      </c>
    </row>
    <row r="96" spans="1:10" ht="15.75" collapsed="1">
      <c r="A96" s="15"/>
      <c r="B96" s="16" t="s">
        <v>132</v>
      </c>
      <c r="C96" s="17" t="s">
        <v>37</v>
      </c>
      <c r="D96" s="28">
        <f>D89</f>
        <v>29920.600000000006</v>
      </c>
      <c r="E96" s="28">
        <f>'2022 г. '!E97</f>
        <v>55468.876000000047</v>
      </c>
      <c r="F96" s="18">
        <f>ROUND(E96/D96*100,1)</f>
        <v>185.4</v>
      </c>
      <c r="G96" s="18">
        <f t="shared" si="7"/>
        <v>25548.276000000042</v>
      </c>
      <c r="H96" s="18">
        <f>H89</f>
        <v>-183811.5</v>
      </c>
      <c r="I96" s="18">
        <f t="shared" si="9"/>
        <v>-30.2</v>
      </c>
      <c r="J96" t="s">
        <v>103</v>
      </c>
    </row>
    <row r="97" spans="1:12" ht="15.75" hidden="1" outlineLevel="1">
      <c r="A97" s="15"/>
      <c r="B97" s="64" t="s">
        <v>133</v>
      </c>
      <c r="C97" s="17" t="s">
        <v>37</v>
      </c>
      <c r="D97" s="66"/>
      <c r="E97" s="18">
        <f>'2022 г. '!E98</f>
        <v>0</v>
      </c>
      <c r="F97" s="66"/>
      <c r="G97" s="66"/>
      <c r="H97" s="23"/>
      <c r="I97" s="66"/>
    </row>
    <row r="98" spans="1:12" ht="15.75" hidden="1" outlineLevel="1">
      <c r="A98" s="15"/>
      <c r="B98" s="16" t="s">
        <v>134</v>
      </c>
      <c r="C98" s="17" t="s">
        <v>37</v>
      </c>
      <c r="D98" s="34"/>
      <c r="E98" s="18">
        <f>'2022 г. '!E99</f>
        <v>0</v>
      </c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15"/>
      <c r="B99" s="16" t="s">
        <v>135</v>
      </c>
      <c r="C99" s="17" t="s">
        <v>37</v>
      </c>
      <c r="D99" s="34"/>
      <c r="E99" s="18">
        <f>'2022 г. '!E100</f>
        <v>0</v>
      </c>
      <c r="F99" s="34"/>
      <c r="G99" s="34"/>
      <c r="H99" s="23"/>
      <c r="I99" s="34"/>
    </row>
    <row r="100" spans="1:12" ht="16.5" hidden="1" customHeight="1" outlineLevel="1">
      <c r="A100" s="67"/>
      <c r="B100" s="68" t="s">
        <v>119</v>
      </c>
      <c r="C100" s="17" t="s">
        <v>37</v>
      </c>
      <c r="D100" s="70"/>
      <c r="E100" s="18">
        <f>'2022 г. '!E101</f>
        <v>0</v>
      </c>
      <c r="F100" s="70"/>
      <c r="G100" s="70"/>
      <c r="H100" s="71"/>
      <c r="I100" s="70"/>
    </row>
    <row r="101" spans="1:12" ht="15.75" collapsed="1">
      <c r="A101" s="15" t="s">
        <v>136</v>
      </c>
      <c r="B101" s="52" t="s">
        <v>137</v>
      </c>
      <c r="C101" s="17" t="s">
        <v>37</v>
      </c>
      <c r="D101" s="34" t="s">
        <v>73</v>
      </c>
      <c r="E101" s="34" t="s">
        <v>73</v>
      </c>
      <c r="F101" s="18" t="s">
        <v>73</v>
      </c>
      <c r="G101" s="18" t="s">
        <v>73</v>
      </c>
      <c r="H101" s="34" t="s">
        <v>73</v>
      </c>
      <c r="I101" s="18" t="s">
        <v>73</v>
      </c>
    </row>
    <row r="102" spans="1:12" ht="15.75">
      <c r="A102" s="15"/>
      <c r="B102" s="76" t="s">
        <v>138</v>
      </c>
      <c r="C102" s="197" t="s">
        <v>37</v>
      </c>
      <c r="D102" s="5">
        <f>D103+D104+D105+D106+D107+D113</f>
        <v>67069.898000000001</v>
      </c>
      <c r="E102" s="5">
        <f>E103+E104+E105+E106+E107+E113</f>
        <v>229924.55</v>
      </c>
      <c r="F102" s="6">
        <f>ROUND(E102/D102*100,1)</f>
        <v>342.8</v>
      </c>
      <c r="G102" s="6">
        <f>E102-D102</f>
        <v>162854.652</v>
      </c>
      <c r="H102" s="6">
        <v>162554.88799999998</v>
      </c>
      <c r="I102" s="6">
        <f>ROUND(E102/H102*100,1)</f>
        <v>141.4</v>
      </c>
      <c r="J102" s="11" t="s">
        <v>139</v>
      </c>
    </row>
    <row r="103" spans="1:12" ht="15.75">
      <c r="A103" s="15"/>
      <c r="B103" s="61" t="s">
        <v>140</v>
      </c>
      <c r="C103" s="17" t="s">
        <v>37</v>
      </c>
      <c r="D103" s="34">
        <v>0</v>
      </c>
      <c r="E103" s="34">
        <f>'2022 г. '!E104</f>
        <v>10719.315000000001</v>
      </c>
      <c r="F103" s="18"/>
      <c r="G103" s="18">
        <f>E103-D103</f>
        <v>10719.315000000001</v>
      </c>
      <c r="H103" s="18">
        <v>0</v>
      </c>
      <c r="I103" s="18"/>
      <c r="J103" s="11" t="s">
        <v>139</v>
      </c>
    </row>
    <row r="104" spans="1:12" ht="17.25" customHeight="1">
      <c r="A104" s="15"/>
      <c r="B104" s="61" t="s">
        <v>141</v>
      </c>
      <c r="C104" s="17" t="s">
        <v>37</v>
      </c>
      <c r="D104" s="34"/>
      <c r="E104" s="34">
        <f>'2022 г. '!E105</f>
        <v>0</v>
      </c>
      <c r="F104" s="34"/>
      <c r="G104" s="34"/>
      <c r="H104" s="18"/>
      <c r="I104" s="18"/>
      <c r="J104" s="11"/>
    </row>
    <row r="105" spans="1:12" ht="17.25" customHeight="1">
      <c r="A105" s="15"/>
      <c r="B105" s="72" t="s">
        <v>142</v>
      </c>
      <c r="C105" s="17" t="s">
        <v>37</v>
      </c>
      <c r="D105" s="34"/>
      <c r="E105" s="34">
        <f>'2022 г. '!E106</f>
        <v>0</v>
      </c>
      <c r="F105" s="18"/>
      <c r="G105" s="34">
        <f>E105-D105</f>
        <v>0</v>
      </c>
      <c r="H105" s="18">
        <v>0</v>
      </c>
      <c r="I105" s="18"/>
      <c r="J105" s="11" t="s">
        <v>139</v>
      </c>
    </row>
    <row r="106" spans="1:12" ht="19.5" customHeight="1">
      <c r="A106" s="15"/>
      <c r="B106" s="61" t="s">
        <v>143</v>
      </c>
      <c r="C106" s="17" t="s">
        <v>37</v>
      </c>
      <c r="D106" s="34">
        <v>0</v>
      </c>
      <c r="E106" s="34">
        <f>'2022 г. '!E107</f>
        <v>116263</v>
      </c>
      <c r="F106" s="18">
        <v>0</v>
      </c>
      <c r="G106" s="177">
        <f>E106-D106</f>
        <v>116263</v>
      </c>
      <c r="H106" s="18">
        <v>80647.199999999997</v>
      </c>
      <c r="I106" s="18">
        <f>ROUND(E106/H106*100,1)</f>
        <v>144.19999999999999</v>
      </c>
      <c r="J106" s="11" t="s">
        <v>139</v>
      </c>
    </row>
    <row r="107" spans="1:12" ht="20.25" customHeight="1">
      <c r="A107" s="15"/>
      <c r="B107" s="74" t="s">
        <v>144</v>
      </c>
      <c r="C107" s="17" t="s">
        <v>37</v>
      </c>
      <c r="D107" s="34">
        <f>D108+D109+D110+D111+D112</f>
        <v>41272.152999999998</v>
      </c>
      <c r="E107" s="34">
        <f>'2022 г. '!E108</f>
        <v>59976.436000000002</v>
      </c>
      <c r="F107" s="6">
        <f>ROUND(E107/D107*100,1)</f>
        <v>145.30000000000001</v>
      </c>
      <c r="G107" s="6">
        <f>E107-D107</f>
        <v>18704.283000000003</v>
      </c>
      <c r="H107" s="6">
        <v>81907.687999999995</v>
      </c>
      <c r="I107" s="6">
        <f>IF(H107&gt;0,ROUND(E107/H107*100,1),0)</f>
        <v>73.2</v>
      </c>
      <c r="J107" s="11" t="s">
        <v>139</v>
      </c>
    </row>
    <row r="108" spans="1:12" ht="15.75">
      <c r="A108" s="15"/>
      <c r="B108" s="75" t="str">
        <f>'[1]1полугодие'!$A$245</f>
        <v xml:space="preserve">  - налог на имущ, по неиспольз.объектам Ангрен</v>
      </c>
      <c r="C108" s="17" t="s">
        <v>37</v>
      </c>
      <c r="D108" s="34"/>
      <c r="E108" s="34">
        <f>'2022 г. '!E109</f>
        <v>115.926</v>
      </c>
      <c r="F108" s="34"/>
      <c r="G108" s="34"/>
      <c r="H108" s="18">
        <v>0</v>
      </c>
      <c r="I108" s="34"/>
    </row>
    <row r="109" spans="1:12" s="19" customFormat="1" ht="15.75">
      <c r="A109" s="15"/>
      <c r="B109" s="30" t="s">
        <v>146</v>
      </c>
      <c r="C109" s="17" t="s">
        <v>37</v>
      </c>
      <c r="D109" s="34">
        <v>2332.6120000000001</v>
      </c>
      <c r="E109" s="34">
        <f>'2022 г. '!E110</f>
        <v>3374</v>
      </c>
      <c r="F109" s="18">
        <f>ROUND(E109/D109*100,1)</f>
        <v>144.6</v>
      </c>
      <c r="G109" s="18">
        <f>E109-D109</f>
        <v>1041.3879999999999</v>
      </c>
      <c r="H109" s="18">
        <v>5307.7</v>
      </c>
      <c r="I109" s="34">
        <f>ROUND(E109/H109*100,1)</f>
        <v>63.6</v>
      </c>
      <c r="J109" s="11" t="s">
        <v>139</v>
      </c>
      <c r="K109"/>
      <c r="L109"/>
    </row>
    <row r="110" spans="1:12" ht="15.75">
      <c r="A110" s="15"/>
      <c r="B110" s="30" t="s">
        <v>147</v>
      </c>
      <c r="C110" s="17" t="s">
        <v>37</v>
      </c>
      <c r="D110" s="34">
        <v>575.88499999999999</v>
      </c>
      <c r="E110" s="34">
        <f>'2022 г. '!E111</f>
        <v>913</v>
      </c>
      <c r="F110" s="18">
        <f>ROUND(E110/D110*100,1)</f>
        <v>158.5</v>
      </c>
      <c r="G110" s="18">
        <f>E110-D110</f>
        <v>337.11500000000001</v>
      </c>
      <c r="H110" s="18">
        <v>673.43600000000004</v>
      </c>
      <c r="I110" s="34">
        <f>ROUND(E110/H110*100,1)</f>
        <v>135.6</v>
      </c>
      <c r="J110" s="11" t="s">
        <v>139</v>
      </c>
    </row>
    <row r="111" spans="1:12" ht="15.75">
      <c r="A111" s="15"/>
      <c r="B111" s="30" t="s">
        <v>148</v>
      </c>
      <c r="C111" s="17" t="s">
        <v>37</v>
      </c>
      <c r="D111" s="34">
        <v>7706.5559999999996</v>
      </c>
      <c r="E111" s="34">
        <f>'2022 г. '!E112</f>
        <v>14210.51</v>
      </c>
      <c r="F111" s="18">
        <f>ROUND(E111/D111*100,1)</f>
        <v>184.4</v>
      </c>
      <c r="G111" s="18">
        <f>E111-D111</f>
        <v>6503.9540000000006</v>
      </c>
      <c r="H111" s="18">
        <v>7714.6</v>
      </c>
      <c r="I111" s="34">
        <f>ROUND(E111/H111*100,1)</f>
        <v>184.2</v>
      </c>
      <c r="J111" s="11" t="s">
        <v>139</v>
      </c>
    </row>
    <row r="112" spans="1:12" ht="15.75">
      <c r="A112" s="15"/>
      <c r="B112" s="30" t="s">
        <v>149</v>
      </c>
      <c r="C112" s="17" t="s">
        <v>37</v>
      </c>
      <c r="D112" s="34">
        <v>30657.1</v>
      </c>
      <c r="E112" s="34">
        <f>'2022 г. '!E113</f>
        <v>41363</v>
      </c>
      <c r="F112" s="18">
        <f>ROUND(E112/D112*100,1)</f>
        <v>134.9</v>
      </c>
      <c r="G112" s="18">
        <f>E112-D112</f>
        <v>10705.900000000001</v>
      </c>
      <c r="H112" s="18">
        <v>26868.7</v>
      </c>
      <c r="I112" s="34">
        <f>ROUND(E112/H112*100,1)</f>
        <v>153.9</v>
      </c>
      <c r="J112" s="11" t="s">
        <v>139</v>
      </c>
    </row>
    <row r="113" spans="1:13" ht="21" customHeight="1">
      <c r="A113" s="15"/>
      <c r="B113" s="76" t="s">
        <v>150</v>
      </c>
      <c r="C113" s="17" t="s">
        <v>37</v>
      </c>
      <c r="D113" s="5">
        <f>D117+D118+D121</f>
        <v>25797.745000000003</v>
      </c>
      <c r="E113" s="5">
        <f>'2022 г. '!E114</f>
        <v>42965.798999999999</v>
      </c>
      <c r="F113" s="6">
        <f>ROUND(E113/D113*100,1)</f>
        <v>166.5</v>
      </c>
      <c r="G113" s="6">
        <f>E113-D113</f>
        <v>17168.053999999996</v>
      </c>
      <c r="H113" s="6">
        <v>41343.252</v>
      </c>
      <c r="I113" s="6">
        <f>ROUND(E113/H113*100,1)</f>
        <v>103.9</v>
      </c>
      <c r="J113" s="11" t="s">
        <v>139</v>
      </c>
    </row>
    <row r="114" spans="1:13" ht="15.75">
      <c r="A114" s="15"/>
      <c r="B114" s="15" t="s">
        <v>12</v>
      </c>
      <c r="C114" s="17" t="s">
        <v>37</v>
      </c>
      <c r="D114" s="34"/>
      <c r="E114" s="34">
        <f>'2022 г. '!E115</f>
        <v>0</v>
      </c>
      <c r="F114" s="34"/>
      <c r="G114" s="34"/>
      <c r="H114" s="23">
        <v>0</v>
      </c>
      <c r="I114" s="34"/>
    </row>
    <row r="115" spans="1:13" ht="21" hidden="1" customHeight="1" outlineLevel="1">
      <c r="A115" s="15"/>
      <c r="B115" s="200" t="s">
        <v>210</v>
      </c>
      <c r="C115" s="17" t="s">
        <v>37</v>
      </c>
      <c r="D115" s="34"/>
      <c r="E115" s="34">
        <f>'2022 г. '!E116</f>
        <v>0</v>
      </c>
      <c r="F115" s="18"/>
      <c r="G115" s="18">
        <f t="shared" ref="G115:G122" si="10">E115-D115</f>
        <v>0</v>
      </c>
      <c r="H115" s="18">
        <v>0</v>
      </c>
      <c r="I115" s="18" t="e">
        <f t="shared" ref="I115:I120" si="11">ROUND(E115/H115*100,1)</f>
        <v>#DIV/0!</v>
      </c>
      <c r="J115" s="11" t="s">
        <v>139</v>
      </c>
    </row>
    <row r="116" spans="1:13" ht="30" hidden="1" customHeight="1" outlineLevel="1">
      <c r="A116" s="15"/>
      <c r="B116" s="200" t="s">
        <v>211</v>
      </c>
      <c r="C116" s="17" t="s">
        <v>37</v>
      </c>
      <c r="D116" s="34"/>
      <c r="E116" s="34">
        <f>'2022 г. '!E117</f>
        <v>0</v>
      </c>
      <c r="F116" s="18"/>
      <c r="G116" s="18">
        <f t="shared" si="10"/>
        <v>0</v>
      </c>
      <c r="H116" s="18">
        <v>0</v>
      </c>
      <c r="I116" s="18" t="e">
        <f t="shared" si="11"/>
        <v>#DIV/0!</v>
      </c>
      <c r="J116" s="11" t="s">
        <v>139</v>
      </c>
    </row>
    <row r="117" spans="1:13" ht="15.75" collapsed="1">
      <c r="A117" s="15"/>
      <c r="B117" s="200" t="s">
        <v>204</v>
      </c>
      <c r="C117" s="17" t="s">
        <v>37</v>
      </c>
      <c r="D117" s="34">
        <v>23867.54</v>
      </c>
      <c r="E117" s="34">
        <f>'2022 г. '!E118</f>
        <v>35902.290999999997</v>
      </c>
      <c r="F117" s="18">
        <f>ROUND(E117/D117*100,1)</f>
        <v>150.4</v>
      </c>
      <c r="G117" s="18">
        <f t="shared" si="10"/>
        <v>12034.750999999997</v>
      </c>
      <c r="H117" s="18">
        <v>32901</v>
      </c>
      <c r="I117" s="18">
        <f t="shared" si="11"/>
        <v>109.1</v>
      </c>
      <c r="J117" s="11" t="s">
        <v>139</v>
      </c>
    </row>
    <row r="118" spans="1:13" ht="34.5" customHeight="1">
      <c r="A118" s="67"/>
      <c r="B118" s="15" t="str">
        <f>'[11] за 1 квартал  2020г. '!B118</f>
        <v xml:space="preserve"> Обязательные отчисления во внебюджетный Пенсионный Фонд (ст.12,ст.15)</v>
      </c>
      <c r="C118" s="17" t="s">
        <v>37</v>
      </c>
      <c r="D118" s="34">
        <v>1930.2049999999999</v>
      </c>
      <c r="E118" s="34">
        <f>'2022 г. '!E119</f>
        <v>7063.5079999999998</v>
      </c>
      <c r="F118" s="18">
        <f>ROUND(E118/D118*100,1)</f>
        <v>365.9</v>
      </c>
      <c r="G118" s="35">
        <f>E118-D118</f>
        <v>5133.3029999999999</v>
      </c>
      <c r="H118" s="18">
        <v>7283.7520000000004</v>
      </c>
      <c r="I118" s="18">
        <f t="shared" si="11"/>
        <v>97</v>
      </c>
      <c r="J118" s="11" t="s">
        <v>139</v>
      </c>
    </row>
    <row r="119" spans="1:13" ht="36.75" hidden="1" customHeight="1" outlineLevel="1">
      <c r="A119" s="15"/>
      <c r="B119" s="15" t="s">
        <v>154</v>
      </c>
      <c r="C119" s="17" t="s">
        <v>37</v>
      </c>
      <c r="D119" s="34"/>
      <c r="E119" s="34">
        <f>'2022 г. '!E120</f>
        <v>0</v>
      </c>
      <c r="F119" s="18" t="e">
        <f t="shared" ref="F119:F120" si="12">ROUND(E119/D119*100,1)</f>
        <v>#DIV/0!</v>
      </c>
      <c r="G119" s="35">
        <f t="shared" si="10"/>
        <v>0</v>
      </c>
      <c r="H119" s="18">
        <v>0</v>
      </c>
      <c r="I119" s="18"/>
      <c r="J119" s="11" t="s">
        <v>139</v>
      </c>
      <c r="M119">
        <f>15287.1+3820.2</f>
        <v>19107.3</v>
      </c>
    </row>
    <row r="120" spans="1:13" ht="36" hidden="1" customHeight="1" outlineLevel="1">
      <c r="A120" s="15"/>
      <c r="B120" s="15" t="s">
        <v>155</v>
      </c>
      <c r="C120" s="17" t="s">
        <v>37</v>
      </c>
      <c r="D120" s="34"/>
      <c r="E120" s="34">
        <f>'2022 г. '!E121</f>
        <v>0</v>
      </c>
      <c r="F120" s="18" t="e">
        <f t="shared" si="12"/>
        <v>#DIV/0!</v>
      </c>
      <c r="G120" s="18">
        <f t="shared" si="10"/>
        <v>0</v>
      </c>
      <c r="H120" s="18">
        <v>0</v>
      </c>
      <c r="I120" s="18" t="e">
        <f t="shared" si="11"/>
        <v>#DIV/0!</v>
      </c>
      <c r="J120" s="11" t="s">
        <v>139</v>
      </c>
    </row>
    <row r="121" spans="1:13" ht="24" customHeight="1" collapsed="1">
      <c r="A121" s="15"/>
      <c r="B121" s="93" t="s">
        <v>219</v>
      </c>
      <c r="C121" s="17" t="s">
        <v>37</v>
      </c>
      <c r="D121" s="34"/>
      <c r="E121" s="18">
        <f>'2022 г. '!E122</f>
        <v>0</v>
      </c>
      <c r="F121" s="18"/>
      <c r="G121" s="18">
        <f t="shared" si="10"/>
        <v>0</v>
      </c>
      <c r="H121" s="18">
        <v>1158.5</v>
      </c>
      <c r="I121" s="18"/>
      <c r="J121" s="11"/>
    </row>
    <row r="122" spans="1:13" ht="15.75" hidden="1" outlineLevel="1">
      <c r="A122" s="15"/>
      <c r="B122" s="52" t="s">
        <v>156</v>
      </c>
      <c r="C122" s="17" t="s">
        <v>37</v>
      </c>
      <c r="D122" s="34"/>
      <c r="E122" s="34">
        <f>'2022 г. '!E123</f>
        <v>0</v>
      </c>
      <c r="F122" s="6"/>
      <c r="G122" s="6">
        <f t="shared" si="10"/>
        <v>0</v>
      </c>
      <c r="H122" s="6"/>
      <c r="I122" s="6"/>
      <c r="J122" s="11" t="s">
        <v>139</v>
      </c>
    </row>
    <row r="123" spans="1:13" ht="15.75" collapsed="1">
      <c r="A123" s="15" t="s">
        <v>157</v>
      </c>
      <c r="B123" s="52" t="s">
        <v>158</v>
      </c>
      <c r="C123" s="17" t="s">
        <v>37</v>
      </c>
      <c r="D123" s="34"/>
      <c r="E123" s="34" t="str">
        <f>'2022 г. '!E124</f>
        <v xml:space="preserve"> - </v>
      </c>
      <c r="F123" s="6" t="s">
        <v>73</v>
      </c>
      <c r="G123" s="6" t="s">
        <v>73</v>
      </c>
      <c r="H123" s="6" t="s">
        <v>73</v>
      </c>
      <c r="I123" s="6" t="s">
        <v>73</v>
      </c>
    </row>
    <row r="124" spans="1:13" ht="27" customHeight="1">
      <c r="A124" s="15"/>
      <c r="B124" s="77" t="s">
        <v>159</v>
      </c>
      <c r="C124" s="17" t="s">
        <v>37</v>
      </c>
      <c r="D124" s="34"/>
      <c r="E124" s="34" t="str">
        <f>'2022 г. '!E125</f>
        <v xml:space="preserve"> - </v>
      </c>
      <c r="F124" s="6" t="s">
        <v>73</v>
      </c>
      <c r="G124" s="6" t="s">
        <v>73</v>
      </c>
      <c r="H124" s="18" t="s">
        <v>73</v>
      </c>
      <c r="I124" s="6" t="s">
        <v>73</v>
      </c>
      <c r="J124" s="36"/>
      <c r="K124" s="1"/>
    </row>
    <row r="125" spans="1:13" ht="18" hidden="1" customHeight="1" outlineLevel="1">
      <c r="A125" s="15"/>
      <c r="B125" s="16" t="s">
        <v>160</v>
      </c>
      <c r="C125" s="17" t="s">
        <v>37</v>
      </c>
      <c r="D125" s="34"/>
      <c r="E125" s="34">
        <f>'2022 г. '!E126</f>
        <v>0</v>
      </c>
      <c r="F125" s="18"/>
      <c r="G125" s="18"/>
      <c r="H125" s="18">
        <v>0</v>
      </c>
      <c r="I125" s="18"/>
    </row>
    <row r="126" spans="1:13" ht="24" customHeight="1" collapsed="1">
      <c r="A126" s="15" t="s">
        <v>161</v>
      </c>
      <c r="B126" s="52" t="s">
        <v>162</v>
      </c>
      <c r="C126" s="17" t="s">
        <v>37</v>
      </c>
      <c r="D126" s="6">
        <f>D128+D129+D130+D131</f>
        <v>720338.49</v>
      </c>
      <c r="E126" s="6">
        <f>'2022 г. '!E127</f>
        <v>698262.04</v>
      </c>
      <c r="F126" s="6">
        <f>ROUND(E126/D126*100,1)</f>
        <v>96.9</v>
      </c>
      <c r="G126" s="6">
        <f t="shared" ref="G126:G147" si="13">E126-D126</f>
        <v>-22076.449999999953</v>
      </c>
      <c r="H126" s="6">
        <v>565747.19999999995</v>
      </c>
      <c r="I126" s="6">
        <f>ROUND(E126/H126*100,1)</f>
        <v>123.4</v>
      </c>
      <c r="J126" s="11" t="s">
        <v>139</v>
      </c>
      <c r="M126" s="11"/>
    </row>
    <row r="127" spans="1:13" ht="15.75">
      <c r="A127" s="15"/>
      <c r="B127" s="15" t="s">
        <v>163</v>
      </c>
      <c r="C127" s="17" t="s">
        <v>37</v>
      </c>
      <c r="D127" s="34"/>
      <c r="E127" s="34">
        <f>'2022 г. '!E128</f>
        <v>0</v>
      </c>
      <c r="F127" s="18"/>
      <c r="G127" s="18">
        <f t="shared" si="13"/>
        <v>0</v>
      </c>
      <c r="H127" s="18">
        <v>0</v>
      </c>
      <c r="I127" s="18"/>
      <c r="M127" s="11"/>
    </row>
    <row r="128" spans="1:13" ht="19.5" customHeight="1">
      <c r="A128" s="15"/>
      <c r="B128" s="61" t="s">
        <v>164</v>
      </c>
      <c r="C128" s="17" t="s">
        <v>37</v>
      </c>
      <c r="D128" s="18">
        <v>359664.00900000002</v>
      </c>
      <c r="E128" s="18">
        <f>'2022 г. '!E129</f>
        <v>306039.12300000002</v>
      </c>
      <c r="F128" s="18">
        <f>ROUND(E128/D128*100,1)</f>
        <v>85.1</v>
      </c>
      <c r="G128" s="18">
        <f t="shared" si="13"/>
        <v>-53624.885999999999</v>
      </c>
      <c r="H128" s="18">
        <v>230232.6</v>
      </c>
      <c r="I128" s="18">
        <f>ROUND(E128/H128*100,1)</f>
        <v>132.9</v>
      </c>
      <c r="J128" s="11" t="s">
        <v>139</v>
      </c>
    </row>
    <row r="129" spans="1:13" ht="18" customHeight="1">
      <c r="A129" s="15"/>
      <c r="B129" s="61" t="s">
        <v>165</v>
      </c>
      <c r="C129" s="17" t="s">
        <v>37</v>
      </c>
      <c r="D129" s="18">
        <v>188375.04800000001</v>
      </c>
      <c r="E129" s="18">
        <f>'2022 г. '!E130</f>
        <v>224788.51700000002</v>
      </c>
      <c r="F129" s="18">
        <f>ROUND(E129/D129*100,1)</f>
        <v>119.3</v>
      </c>
      <c r="G129" s="18">
        <f t="shared" si="13"/>
        <v>36413.469000000012</v>
      </c>
      <c r="H129" s="18">
        <v>163355.1</v>
      </c>
      <c r="I129" s="18">
        <f>ROUND(E129/H129*100,1)</f>
        <v>137.6</v>
      </c>
      <c r="J129" s="11" t="s">
        <v>139</v>
      </c>
    </row>
    <row r="130" spans="1:13" ht="31.5">
      <c r="A130" s="15"/>
      <c r="B130" s="61" t="s">
        <v>166</v>
      </c>
      <c r="C130" s="17" t="s">
        <v>37</v>
      </c>
      <c r="D130" s="18">
        <v>148500.82199999999</v>
      </c>
      <c r="E130" s="18">
        <f>'2022 г. '!E131</f>
        <v>136492.14499999999</v>
      </c>
      <c r="F130" s="18">
        <f>ROUND(E130/D130*100,1)</f>
        <v>91.9</v>
      </c>
      <c r="G130" s="18">
        <f t="shared" si="13"/>
        <v>-12008.676999999996</v>
      </c>
      <c r="H130" s="18">
        <v>143823</v>
      </c>
      <c r="I130" s="18">
        <f>ROUND(E130/H130*100,1)</f>
        <v>94.9</v>
      </c>
      <c r="J130" s="11" t="s">
        <v>139</v>
      </c>
    </row>
    <row r="131" spans="1:13" ht="15.75">
      <c r="A131" s="15"/>
      <c r="B131" s="61" t="s">
        <v>167</v>
      </c>
      <c r="C131" s="17" t="s">
        <v>37</v>
      </c>
      <c r="D131" s="34">
        <v>23798.611000000001</v>
      </c>
      <c r="E131" s="34">
        <f>'2022 г. '!E132</f>
        <v>30942.255000000001</v>
      </c>
      <c r="F131" s="18">
        <f>ROUND(E131/D131*100,1)</f>
        <v>130</v>
      </c>
      <c r="G131" s="18">
        <f t="shared" si="13"/>
        <v>7143.6440000000002</v>
      </c>
      <c r="H131" s="18">
        <v>28336.5</v>
      </c>
      <c r="I131" s="18">
        <f>ROUND(E131/H131*100,1)</f>
        <v>109.2</v>
      </c>
      <c r="J131" s="11" t="s">
        <v>139</v>
      </c>
    </row>
    <row r="132" spans="1:13" ht="23.25" customHeight="1">
      <c r="A132" s="17" t="s">
        <v>168</v>
      </c>
      <c r="B132" s="78" t="s">
        <v>169</v>
      </c>
      <c r="C132" s="17" t="s">
        <v>37</v>
      </c>
      <c r="D132" s="34"/>
      <c r="E132" s="34">
        <f>'2022 г. '!E133</f>
        <v>0</v>
      </c>
      <c r="F132" s="6"/>
      <c r="G132" s="6">
        <f>E132-D132</f>
        <v>0</v>
      </c>
      <c r="H132" s="18">
        <v>2549881</v>
      </c>
      <c r="I132" s="6">
        <f>IF(H132&gt;0,ROUND(E132/H132*100,1),0)</f>
        <v>0</v>
      </c>
      <c r="K132" t="s">
        <v>170</v>
      </c>
    </row>
    <row r="133" spans="1:13" ht="15.75">
      <c r="A133" s="15"/>
      <c r="B133" s="15" t="s">
        <v>12</v>
      </c>
      <c r="C133" s="17" t="s">
        <v>37</v>
      </c>
      <c r="D133" s="34"/>
      <c r="E133" s="34">
        <f>'2022 г. '!E134</f>
        <v>0</v>
      </c>
      <c r="F133" s="18"/>
      <c r="G133" s="18">
        <f t="shared" si="13"/>
        <v>0</v>
      </c>
      <c r="H133" s="18">
        <v>0</v>
      </c>
      <c r="I133" s="18"/>
    </row>
    <row r="134" spans="1:13" ht="24.75" customHeight="1">
      <c r="A134" s="15"/>
      <c r="B134" s="29" t="s">
        <v>171</v>
      </c>
      <c r="C134" s="17" t="s">
        <v>37</v>
      </c>
      <c r="D134" s="34"/>
      <c r="E134" s="34">
        <f>'2022 г. '!E135</f>
        <v>924154</v>
      </c>
      <c r="F134" s="34"/>
      <c r="G134" s="34">
        <f t="shared" si="13"/>
        <v>924154</v>
      </c>
      <c r="H134" s="18">
        <v>2015772</v>
      </c>
      <c r="I134" s="34">
        <f>IF(H134&gt;0,ROUND(E134/H134*100,1),0)</f>
        <v>45.8</v>
      </c>
      <c r="K134" t="s">
        <v>170</v>
      </c>
      <c r="L134" t="s">
        <v>170</v>
      </c>
      <c r="M134" t="s">
        <v>172</v>
      </c>
    </row>
    <row r="135" spans="1:13" ht="15.75">
      <c r="A135" s="15"/>
      <c r="B135" s="15" t="s">
        <v>163</v>
      </c>
      <c r="C135" s="17" t="s">
        <v>37</v>
      </c>
      <c r="D135" s="34"/>
      <c r="E135" s="34">
        <f>'2022 г. '!E136</f>
        <v>0</v>
      </c>
      <c r="F135" s="18"/>
      <c r="G135" s="18">
        <f t="shared" si="13"/>
        <v>0</v>
      </c>
      <c r="H135" s="18">
        <v>0</v>
      </c>
      <c r="I135" s="18"/>
    </row>
    <row r="136" spans="1:13" ht="15.75">
      <c r="A136" s="15"/>
      <c r="B136" s="61" t="s">
        <v>173</v>
      </c>
      <c r="C136" s="17" t="s">
        <v>37</v>
      </c>
      <c r="D136" s="34"/>
      <c r="E136" s="34">
        <f>'2022 г. '!E137</f>
        <v>923559</v>
      </c>
      <c r="F136" s="18"/>
      <c r="G136" s="18">
        <f t="shared" si="13"/>
        <v>923559</v>
      </c>
      <c r="H136" s="18">
        <v>1129371</v>
      </c>
      <c r="I136" s="18">
        <f>IF(H136&gt;0,ROUND(E136/H136*100,1),0)</f>
        <v>81.8</v>
      </c>
      <c r="K136" t="s">
        <v>170</v>
      </c>
      <c r="L136" t="s">
        <v>170</v>
      </c>
      <c r="M136" t="s">
        <v>174</v>
      </c>
    </row>
    <row r="137" spans="1:13" ht="15.75">
      <c r="A137" s="15"/>
      <c r="B137" s="61" t="s">
        <v>175</v>
      </c>
      <c r="C137" s="17" t="s">
        <v>37</v>
      </c>
      <c r="D137" s="34"/>
      <c r="E137" s="34">
        <f>'2022 г. '!E138</f>
        <v>595</v>
      </c>
      <c r="F137" s="18"/>
      <c r="G137" s="18">
        <f t="shared" si="13"/>
        <v>595</v>
      </c>
      <c r="H137" s="18">
        <v>1324</v>
      </c>
      <c r="I137" s="18">
        <f>IF(H137&gt;0,ROUND(E137/H137*100,1),0)</f>
        <v>44.9</v>
      </c>
      <c r="K137" t="s">
        <v>170</v>
      </c>
      <c r="L137" t="s">
        <v>170</v>
      </c>
      <c r="M137" t="s">
        <v>176</v>
      </c>
    </row>
    <row r="138" spans="1:13" ht="15.75">
      <c r="A138" s="15"/>
      <c r="B138" s="16" t="s">
        <v>177</v>
      </c>
      <c r="C138" s="17" t="s">
        <v>37</v>
      </c>
      <c r="D138" s="34"/>
      <c r="E138" s="34">
        <f>'2022 г. '!E139</f>
        <v>0</v>
      </c>
      <c r="F138" s="18"/>
      <c r="G138" s="18">
        <f t="shared" si="13"/>
        <v>0</v>
      </c>
      <c r="H138" s="18">
        <v>534109</v>
      </c>
      <c r="I138" s="18">
        <f>IF(H138&gt;0,ROUND(E138/H138*100,1),0)</f>
        <v>0</v>
      </c>
      <c r="K138" t="s">
        <v>170</v>
      </c>
      <c r="L138" t="s">
        <v>170</v>
      </c>
      <c r="M138" t="s">
        <v>178</v>
      </c>
    </row>
    <row r="139" spans="1:13" ht="15.75">
      <c r="A139" s="15"/>
      <c r="B139" s="15" t="s">
        <v>52</v>
      </c>
      <c r="C139" s="17" t="s">
        <v>37</v>
      </c>
      <c r="D139" s="34"/>
      <c r="E139" s="34">
        <f>'2022 г. '!E140</f>
        <v>0</v>
      </c>
      <c r="F139" s="18"/>
      <c r="G139" s="18">
        <f t="shared" si="13"/>
        <v>0</v>
      </c>
      <c r="H139" s="18">
        <v>0</v>
      </c>
      <c r="I139" s="18"/>
      <c r="K139" t="s">
        <v>170</v>
      </c>
      <c r="L139" t="s">
        <v>170</v>
      </c>
    </row>
    <row r="140" spans="1:13" ht="20.25" customHeight="1">
      <c r="A140" s="79"/>
      <c r="B140" s="80" t="s">
        <v>179</v>
      </c>
      <c r="C140" s="17" t="s">
        <v>37</v>
      </c>
      <c r="D140" s="34"/>
      <c r="E140" s="34">
        <f>'2022 г. '!E141</f>
        <v>143757.57999999999</v>
      </c>
      <c r="F140" s="18"/>
      <c r="G140" s="81">
        <f t="shared" si="13"/>
        <v>143757.57999999999</v>
      </c>
      <c r="H140" s="18">
        <v>247868</v>
      </c>
      <c r="I140" s="18">
        <f>IF(H140&gt;0,ROUND(E140/H140*100,1),0)</f>
        <v>58</v>
      </c>
      <c r="K140" t="s">
        <v>170</v>
      </c>
      <c r="L140" t="s">
        <v>170</v>
      </c>
      <c r="M140" t="s">
        <v>180</v>
      </c>
    </row>
    <row r="141" spans="1:13" ht="15.75">
      <c r="A141" s="15"/>
      <c r="B141" s="15" t="s">
        <v>163</v>
      </c>
      <c r="C141" s="17" t="s">
        <v>37</v>
      </c>
      <c r="D141" s="34"/>
      <c r="E141" s="34">
        <f>'2022 г. '!E142</f>
        <v>0</v>
      </c>
      <c r="F141" s="18"/>
      <c r="G141" s="18">
        <f t="shared" si="13"/>
        <v>0</v>
      </c>
      <c r="H141" s="18">
        <v>0</v>
      </c>
      <c r="I141" s="18"/>
      <c r="K141" t="s">
        <v>170</v>
      </c>
      <c r="L141" t="s">
        <v>170</v>
      </c>
    </row>
    <row r="142" spans="1:13" ht="20.25" customHeight="1">
      <c r="A142" s="15"/>
      <c r="B142" s="61" t="s">
        <v>181</v>
      </c>
      <c r="C142" s="17" t="s">
        <v>37</v>
      </c>
      <c r="D142" s="34"/>
      <c r="E142" s="34">
        <f>'2022 г. '!E143</f>
        <v>102078.277</v>
      </c>
      <c r="F142" s="18"/>
      <c r="G142" s="18">
        <f t="shared" si="13"/>
        <v>102078.277</v>
      </c>
      <c r="H142" s="18">
        <v>112841</v>
      </c>
      <c r="I142" s="18">
        <f>IF(H142&gt;0,ROUND(E142/H142*100,1),0)</f>
        <v>90.5</v>
      </c>
      <c r="K142" t="s">
        <v>170</v>
      </c>
      <c r="L142" t="s">
        <v>170</v>
      </c>
      <c r="M142" t="s">
        <v>182</v>
      </c>
    </row>
    <row r="143" spans="1:13" ht="15.75">
      <c r="A143" s="15"/>
      <c r="B143" s="61" t="s">
        <v>183</v>
      </c>
      <c r="C143" s="17" t="s">
        <v>37</v>
      </c>
      <c r="D143" s="34"/>
      <c r="E143" s="34">
        <f>'2022 г. '!E144</f>
        <v>35389.4</v>
      </c>
      <c r="F143" s="18"/>
      <c r="G143" s="18">
        <f t="shared" si="13"/>
        <v>35389.4</v>
      </c>
      <c r="H143" s="18">
        <v>128221</v>
      </c>
      <c r="I143" s="18">
        <f>IF(H143&gt;0,ROUND(E143/H143*100,1),0)</f>
        <v>27.6</v>
      </c>
      <c r="K143" t="s">
        <v>170</v>
      </c>
      <c r="L143" t="s">
        <v>170</v>
      </c>
      <c r="M143" t="s">
        <v>184</v>
      </c>
    </row>
    <row r="144" spans="1:13" ht="15.75">
      <c r="A144" s="15"/>
      <c r="B144" s="80" t="s">
        <v>185</v>
      </c>
      <c r="C144" s="17" t="s">
        <v>37</v>
      </c>
      <c r="D144" s="34"/>
      <c r="E144" s="34">
        <f>'2022 г. '!E145</f>
        <v>7539.1239999999998</v>
      </c>
      <c r="F144" s="18"/>
      <c r="G144" s="18">
        <f t="shared" si="13"/>
        <v>7539.1239999999998</v>
      </c>
      <c r="H144" s="18">
        <v>5743</v>
      </c>
      <c r="I144" s="18">
        <f>IF(H144&gt;0,ROUND(E144/H144*100,1),0)</f>
        <v>131.30000000000001</v>
      </c>
      <c r="K144" t="s">
        <v>170</v>
      </c>
      <c r="L144" t="s">
        <v>170</v>
      </c>
      <c r="M144" t="s">
        <v>186</v>
      </c>
    </row>
    <row r="145" spans="1:12" ht="18" customHeight="1">
      <c r="A145" s="15"/>
      <c r="B145" s="15" t="s">
        <v>163</v>
      </c>
      <c r="C145" s="17" t="s">
        <v>37</v>
      </c>
      <c r="D145" s="34"/>
      <c r="E145" s="34">
        <f>'2022 г. '!E146</f>
        <v>0</v>
      </c>
      <c r="F145" s="18"/>
      <c r="G145" s="18">
        <f t="shared" si="13"/>
        <v>0</v>
      </c>
      <c r="H145" s="18">
        <v>0</v>
      </c>
      <c r="I145" s="18"/>
      <c r="K145" t="s">
        <v>170</v>
      </c>
      <c r="L145" t="s">
        <v>170</v>
      </c>
    </row>
    <row r="146" spans="1:12" ht="15.75">
      <c r="A146" s="15"/>
      <c r="B146" s="30" t="s">
        <v>187</v>
      </c>
      <c r="C146" s="17" t="s">
        <v>37</v>
      </c>
      <c r="D146" s="34"/>
      <c r="E146" s="34">
        <f>'2022 г. '!E147</f>
        <v>0</v>
      </c>
      <c r="F146" s="18"/>
      <c r="G146" s="18">
        <f t="shared" si="13"/>
        <v>0</v>
      </c>
      <c r="H146" s="18">
        <v>72760</v>
      </c>
      <c r="I146" s="18">
        <f>IF(H146&gt;0,ROUND(E146/H146*100,1),0)</f>
        <v>0</v>
      </c>
      <c r="K146" t="s">
        <v>170</v>
      </c>
    </row>
    <row r="147" spans="1:12" ht="18.75" hidden="1" customHeight="1" outlineLevel="1">
      <c r="A147" s="15" t="s">
        <v>188</v>
      </c>
      <c r="B147" s="16" t="s">
        <v>189</v>
      </c>
      <c r="C147" s="17" t="s">
        <v>37</v>
      </c>
      <c r="D147" s="34"/>
      <c r="E147" s="34">
        <f>'2022 г. '!E148</f>
        <v>0</v>
      </c>
      <c r="F147" s="18"/>
      <c r="G147" s="18">
        <f t="shared" si="13"/>
        <v>0</v>
      </c>
      <c r="H147" s="18">
        <v>0</v>
      </c>
      <c r="I147" s="18">
        <f>IF(H147&gt;0,ROUND(E147/H147*100,1),0)</f>
        <v>0</v>
      </c>
      <c r="K147" t="s">
        <v>170</v>
      </c>
    </row>
    <row r="148" spans="1:12" ht="15.75" collapsed="1">
      <c r="A148" s="15" t="s">
        <v>213</v>
      </c>
      <c r="B148" s="16" t="s">
        <v>190</v>
      </c>
      <c r="C148" s="17" t="s">
        <v>37</v>
      </c>
      <c r="D148" s="34"/>
      <c r="E148" s="34">
        <f>'2022 г. '!E149</f>
        <v>429749.08500000002</v>
      </c>
      <c r="F148" s="18"/>
      <c r="G148" s="18"/>
      <c r="H148" s="18">
        <v>99572.5</v>
      </c>
      <c r="I148" s="18">
        <f>ROUND(E148/H148*100,1)</f>
        <v>431.6</v>
      </c>
      <c r="K148" t="s">
        <v>170</v>
      </c>
      <c r="L148" t="s">
        <v>191</v>
      </c>
    </row>
    <row r="149" spans="1:12" ht="15.75" hidden="1" outlineLevel="1">
      <c r="A149" s="15"/>
      <c r="B149" s="15" t="s">
        <v>12</v>
      </c>
      <c r="C149" s="17" t="s">
        <v>37</v>
      </c>
      <c r="D149" s="34"/>
      <c r="E149" s="34">
        <f>'2022 г. '!E150</f>
        <v>0</v>
      </c>
      <c r="F149" s="18"/>
      <c r="G149" s="18"/>
      <c r="H149" s="18">
        <v>0</v>
      </c>
      <c r="I149" s="18"/>
      <c r="K149" t="s">
        <v>170</v>
      </c>
    </row>
    <row r="150" spans="1:12" ht="15.75" hidden="1" outlineLevel="1">
      <c r="A150" s="15"/>
      <c r="B150" s="16" t="s">
        <v>192</v>
      </c>
      <c r="C150" s="17" t="s">
        <v>37</v>
      </c>
      <c r="D150" s="34"/>
      <c r="E150" s="34">
        <f>'2022 г. '!E151</f>
        <v>0</v>
      </c>
      <c r="F150" s="18"/>
      <c r="G150" s="18"/>
      <c r="H150" s="18">
        <v>0</v>
      </c>
      <c r="I150" s="18"/>
      <c r="K150" t="s">
        <v>170</v>
      </c>
    </row>
    <row r="151" spans="1:12" ht="15.75" hidden="1" outlineLevel="1">
      <c r="A151" s="15"/>
      <c r="B151" s="16" t="s">
        <v>193</v>
      </c>
      <c r="C151" s="17" t="s">
        <v>37</v>
      </c>
      <c r="D151" s="34"/>
      <c r="E151" s="34">
        <f>'2022 г. '!E152</f>
        <v>0</v>
      </c>
      <c r="F151" s="18"/>
      <c r="G151" s="18"/>
      <c r="H151" s="18">
        <v>0</v>
      </c>
      <c r="I151" s="18" t="e">
        <f>ROUND(E151/H151*100,1)</f>
        <v>#DIV/0!</v>
      </c>
      <c r="K151" t="s">
        <v>170</v>
      </c>
    </row>
    <row r="152" spans="1:12" ht="15.75" collapsed="1">
      <c r="A152" s="15" t="s">
        <v>214</v>
      </c>
      <c r="B152" s="16" t="s">
        <v>194</v>
      </c>
      <c r="C152" s="17" t="s">
        <v>37</v>
      </c>
      <c r="D152" s="34"/>
      <c r="E152" s="34">
        <f>'2022 г. '!E153</f>
        <v>270308.46600000001</v>
      </c>
      <c r="F152" s="18"/>
      <c r="G152" s="18"/>
      <c r="H152" s="18">
        <v>265619</v>
      </c>
      <c r="I152" s="18">
        <f>ROUND(E152/H152*100,1)</f>
        <v>101.8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87">
        <f>'2022 г. '!D154</f>
        <v>0</v>
      </c>
      <c r="E153" s="87">
        <f>'2022 г. '!E154</f>
        <v>0</v>
      </c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87">
        <f>'2022 г. '!D155</f>
        <v>0</v>
      </c>
      <c r="E154" s="87">
        <f>'2022 г. '!E155</f>
        <v>0</v>
      </c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87">
        <f>'2022 г. '!D156</f>
        <v>0</v>
      </c>
      <c r="E155" s="87">
        <f>'2022 г. '!E156</f>
        <v>0</v>
      </c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87">
        <f>'2022 г. '!D157</f>
        <v>0</v>
      </c>
      <c r="E156" s="87">
        <f>'2022 г. '!E157</f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87">
        <f>'2022 г. '!D158</f>
        <v>0</v>
      </c>
      <c r="E157" s="87">
        <f>'2022 г. '!E158</f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87">
        <f>'2022 г. '!D159</f>
        <v>0</v>
      </c>
      <c r="E158" s="87">
        <f>'2022 г. '!E159</f>
        <v>0</v>
      </c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87">
        <f>'2022 г. '!D160</f>
        <v>0</v>
      </c>
      <c r="E159" s="87">
        <f>'2022 г. '!E160</f>
        <v>0</v>
      </c>
      <c r="F159" s="40"/>
      <c r="G159" s="40"/>
      <c r="H159" s="41"/>
      <c r="I159" s="40" t="e">
        <f>ROUND(E159/H159*100,1)</f>
        <v>#DIV/0!</v>
      </c>
    </row>
    <row r="160" spans="1:12" ht="68.25" customHeight="1" collapsed="1">
      <c r="E160" s="11"/>
      <c r="H160" s="44"/>
    </row>
    <row r="161" spans="1:9" ht="37.5">
      <c r="A161" s="32"/>
      <c r="B161" s="45" t="s">
        <v>221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>
      <c r="A165" s="32"/>
      <c r="B165" s="46" t="s">
        <v>206</v>
      </c>
      <c r="C165" s="46"/>
      <c r="D165" s="46"/>
      <c r="E165" s="46"/>
      <c r="F165" s="48"/>
      <c r="G165" s="46" t="s">
        <v>220</v>
      </c>
      <c r="H165" s="46"/>
      <c r="I165" s="48"/>
    </row>
    <row r="166" spans="1:9" ht="18.75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>
      <c r="A167" s="32"/>
      <c r="B167" s="46" t="s">
        <v>215</v>
      </c>
      <c r="C167" s="46"/>
      <c r="D167" s="46"/>
      <c r="E167" s="46"/>
      <c r="F167" s="48"/>
      <c r="G167" s="46" t="s">
        <v>216</v>
      </c>
      <c r="H167" s="46"/>
      <c r="I167" s="48"/>
    </row>
    <row r="168" spans="1:9" ht="18.75">
      <c r="A168" s="32"/>
      <c r="B168" s="46"/>
      <c r="C168" s="46"/>
      <c r="D168" s="46"/>
      <c r="E168" s="46"/>
      <c r="F168" s="48"/>
      <c r="G168" s="46"/>
      <c r="H168" s="46"/>
      <c r="I168" s="48"/>
    </row>
    <row r="169" spans="1:9" ht="18.75">
      <c r="A169" s="32"/>
      <c r="B169" s="46"/>
      <c r="C169" s="46"/>
      <c r="D169" s="46"/>
      <c r="E169" s="46"/>
      <c r="F169" s="48"/>
      <c r="G169" s="46"/>
      <c r="H169" s="46"/>
      <c r="I169" s="48"/>
    </row>
    <row r="170" spans="1:9" ht="15.75">
      <c r="B170" s="49"/>
      <c r="C170" s="49"/>
      <c r="D170" s="49"/>
      <c r="E170" s="49"/>
      <c r="G170" s="49"/>
    </row>
    <row r="171" spans="1:9" ht="18.75">
      <c r="B171" s="46"/>
      <c r="C171" s="49"/>
      <c r="D171" s="49"/>
      <c r="E171" s="49"/>
      <c r="G171" s="49"/>
    </row>
    <row r="172" spans="1:9" ht="15.75">
      <c r="B172" s="49"/>
      <c r="C172" s="49"/>
      <c r="D172" s="49"/>
      <c r="E172" s="49"/>
      <c r="G172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.19685039370078741" top="0.51181102362204722" bottom="0.15748031496062992" header="0.15748031496062992" footer="0.11811023622047245"/>
  <pageSetup paperSize="9" scale="70" orientation="portrait" blackAndWhite="1" r:id="rId1"/>
  <headerFooter alignWithMargins="0"/>
  <rowBreaks count="1" manualBreakCount="1">
    <brk id="92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72"/>
  <sheetViews>
    <sheetView showZeros="0" view="pageBreakPreview" topLeftCell="B42" zoomScale="90" zoomScaleNormal="100" zoomScaleSheetLayoutView="90" workbookViewId="0">
      <pane xSplit="1" topLeftCell="C1" activePane="topRight" state="frozen"/>
      <selection activeCell="B1" sqref="B1"/>
      <selection pane="topRight" activeCell="D93" sqref="D93"/>
    </sheetView>
  </sheetViews>
  <sheetFormatPr defaultRowHeight="12.75" outlineLevelRow="1" outlineLevelCol="1"/>
  <cols>
    <col min="1" max="1" width="3.85546875" hidden="1" customWidth="1" outlineLevel="1"/>
    <col min="2" max="2" width="59.140625" customWidth="1" collapsed="1"/>
    <col min="3" max="3" width="10" customWidth="1"/>
    <col min="4" max="4" width="11.85546875" customWidth="1"/>
    <col min="5" max="5" width="12.42578125" customWidth="1"/>
    <col min="6" max="6" width="11.140625" customWidth="1"/>
    <col min="7" max="7" width="12" customWidth="1"/>
    <col min="8" max="8" width="12.42578125" customWidth="1"/>
    <col min="9" max="9" width="12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3" width="9.140625" hidden="1" customWidth="1" outlineLevel="1"/>
    <col min="14" max="14" width="1" customWidth="1" outlineLevel="1"/>
    <col min="257" max="257" width="3.85546875" bestFit="1" customWidth="1"/>
    <col min="258" max="258" width="61.5703125" customWidth="1"/>
    <col min="259" max="259" width="10" customWidth="1"/>
    <col min="260" max="260" width="11.85546875" customWidth="1"/>
    <col min="261" max="261" width="12.42578125" customWidth="1"/>
    <col min="262" max="262" width="9.7109375" customWidth="1"/>
    <col min="263" max="263" width="12" customWidth="1"/>
    <col min="264" max="264" width="13.28515625" customWidth="1"/>
    <col min="265" max="265" width="11.140625" customWidth="1"/>
    <col min="266" max="270" width="0" hidden="1" customWidth="1"/>
    <col min="513" max="513" width="3.85546875" bestFit="1" customWidth="1"/>
    <col min="514" max="514" width="61.5703125" customWidth="1"/>
    <col min="515" max="515" width="10" customWidth="1"/>
    <col min="516" max="516" width="11.85546875" customWidth="1"/>
    <col min="517" max="517" width="12.42578125" customWidth="1"/>
    <col min="518" max="518" width="9.7109375" customWidth="1"/>
    <col min="519" max="519" width="12" customWidth="1"/>
    <col min="520" max="520" width="13.28515625" customWidth="1"/>
    <col min="521" max="521" width="11.140625" customWidth="1"/>
    <col min="522" max="526" width="0" hidden="1" customWidth="1"/>
    <col min="769" max="769" width="3.85546875" bestFit="1" customWidth="1"/>
    <col min="770" max="770" width="61.5703125" customWidth="1"/>
    <col min="771" max="771" width="10" customWidth="1"/>
    <col min="772" max="772" width="11.85546875" customWidth="1"/>
    <col min="773" max="773" width="12.42578125" customWidth="1"/>
    <col min="774" max="774" width="9.7109375" customWidth="1"/>
    <col min="775" max="775" width="12" customWidth="1"/>
    <col min="776" max="776" width="13.28515625" customWidth="1"/>
    <col min="777" max="777" width="11.140625" customWidth="1"/>
    <col min="778" max="782" width="0" hidden="1" customWidth="1"/>
    <col min="1025" max="1025" width="3.85546875" bestFit="1" customWidth="1"/>
    <col min="1026" max="1026" width="61.5703125" customWidth="1"/>
    <col min="1027" max="1027" width="10" customWidth="1"/>
    <col min="1028" max="1028" width="11.85546875" customWidth="1"/>
    <col min="1029" max="1029" width="12.42578125" customWidth="1"/>
    <col min="1030" max="1030" width="9.7109375" customWidth="1"/>
    <col min="1031" max="1031" width="12" customWidth="1"/>
    <col min="1032" max="1032" width="13.28515625" customWidth="1"/>
    <col min="1033" max="1033" width="11.140625" customWidth="1"/>
    <col min="1034" max="1038" width="0" hidden="1" customWidth="1"/>
    <col min="1281" max="1281" width="3.85546875" bestFit="1" customWidth="1"/>
    <col min="1282" max="1282" width="61.5703125" customWidth="1"/>
    <col min="1283" max="1283" width="10" customWidth="1"/>
    <col min="1284" max="1284" width="11.85546875" customWidth="1"/>
    <col min="1285" max="1285" width="12.42578125" customWidth="1"/>
    <col min="1286" max="1286" width="9.7109375" customWidth="1"/>
    <col min="1287" max="1287" width="12" customWidth="1"/>
    <col min="1288" max="1288" width="13.28515625" customWidth="1"/>
    <col min="1289" max="1289" width="11.140625" customWidth="1"/>
    <col min="1290" max="1294" width="0" hidden="1" customWidth="1"/>
    <col min="1537" max="1537" width="3.85546875" bestFit="1" customWidth="1"/>
    <col min="1538" max="1538" width="61.5703125" customWidth="1"/>
    <col min="1539" max="1539" width="10" customWidth="1"/>
    <col min="1540" max="1540" width="11.85546875" customWidth="1"/>
    <col min="1541" max="1541" width="12.42578125" customWidth="1"/>
    <col min="1542" max="1542" width="9.7109375" customWidth="1"/>
    <col min="1543" max="1543" width="12" customWidth="1"/>
    <col min="1544" max="1544" width="13.28515625" customWidth="1"/>
    <col min="1545" max="1545" width="11.140625" customWidth="1"/>
    <col min="1546" max="1550" width="0" hidden="1" customWidth="1"/>
    <col min="1793" max="1793" width="3.85546875" bestFit="1" customWidth="1"/>
    <col min="1794" max="1794" width="61.5703125" customWidth="1"/>
    <col min="1795" max="1795" width="10" customWidth="1"/>
    <col min="1796" max="1796" width="11.85546875" customWidth="1"/>
    <col min="1797" max="1797" width="12.42578125" customWidth="1"/>
    <col min="1798" max="1798" width="9.7109375" customWidth="1"/>
    <col min="1799" max="1799" width="12" customWidth="1"/>
    <col min="1800" max="1800" width="13.28515625" customWidth="1"/>
    <col min="1801" max="1801" width="11.140625" customWidth="1"/>
    <col min="1802" max="1806" width="0" hidden="1" customWidth="1"/>
    <col min="2049" max="2049" width="3.85546875" bestFit="1" customWidth="1"/>
    <col min="2050" max="2050" width="61.5703125" customWidth="1"/>
    <col min="2051" max="2051" width="10" customWidth="1"/>
    <col min="2052" max="2052" width="11.85546875" customWidth="1"/>
    <col min="2053" max="2053" width="12.42578125" customWidth="1"/>
    <col min="2054" max="2054" width="9.7109375" customWidth="1"/>
    <col min="2055" max="2055" width="12" customWidth="1"/>
    <col min="2056" max="2056" width="13.28515625" customWidth="1"/>
    <col min="2057" max="2057" width="11.140625" customWidth="1"/>
    <col min="2058" max="2062" width="0" hidden="1" customWidth="1"/>
    <col min="2305" max="2305" width="3.85546875" bestFit="1" customWidth="1"/>
    <col min="2306" max="2306" width="61.5703125" customWidth="1"/>
    <col min="2307" max="2307" width="10" customWidth="1"/>
    <col min="2308" max="2308" width="11.85546875" customWidth="1"/>
    <col min="2309" max="2309" width="12.42578125" customWidth="1"/>
    <col min="2310" max="2310" width="9.7109375" customWidth="1"/>
    <col min="2311" max="2311" width="12" customWidth="1"/>
    <col min="2312" max="2312" width="13.28515625" customWidth="1"/>
    <col min="2313" max="2313" width="11.140625" customWidth="1"/>
    <col min="2314" max="2318" width="0" hidden="1" customWidth="1"/>
    <col min="2561" max="2561" width="3.85546875" bestFit="1" customWidth="1"/>
    <col min="2562" max="2562" width="61.5703125" customWidth="1"/>
    <col min="2563" max="2563" width="10" customWidth="1"/>
    <col min="2564" max="2564" width="11.85546875" customWidth="1"/>
    <col min="2565" max="2565" width="12.42578125" customWidth="1"/>
    <col min="2566" max="2566" width="9.7109375" customWidth="1"/>
    <col min="2567" max="2567" width="12" customWidth="1"/>
    <col min="2568" max="2568" width="13.28515625" customWidth="1"/>
    <col min="2569" max="2569" width="11.140625" customWidth="1"/>
    <col min="2570" max="2574" width="0" hidden="1" customWidth="1"/>
    <col min="2817" max="2817" width="3.85546875" bestFit="1" customWidth="1"/>
    <col min="2818" max="2818" width="61.5703125" customWidth="1"/>
    <col min="2819" max="2819" width="10" customWidth="1"/>
    <col min="2820" max="2820" width="11.85546875" customWidth="1"/>
    <col min="2821" max="2821" width="12.42578125" customWidth="1"/>
    <col min="2822" max="2822" width="9.7109375" customWidth="1"/>
    <col min="2823" max="2823" width="12" customWidth="1"/>
    <col min="2824" max="2824" width="13.28515625" customWidth="1"/>
    <col min="2825" max="2825" width="11.140625" customWidth="1"/>
    <col min="2826" max="2830" width="0" hidden="1" customWidth="1"/>
    <col min="3073" max="3073" width="3.85546875" bestFit="1" customWidth="1"/>
    <col min="3074" max="3074" width="61.5703125" customWidth="1"/>
    <col min="3075" max="3075" width="10" customWidth="1"/>
    <col min="3076" max="3076" width="11.85546875" customWidth="1"/>
    <col min="3077" max="3077" width="12.42578125" customWidth="1"/>
    <col min="3078" max="3078" width="9.7109375" customWidth="1"/>
    <col min="3079" max="3079" width="12" customWidth="1"/>
    <col min="3080" max="3080" width="13.28515625" customWidth="1"/>
    <col min="3081" max="3081" width="11.140625" customWidth="1"/>
    <col min="3082" max="3086" width="0" hidden="1" customWidth="1"/>
    <col min="3329" max="3329" width="3.85546875" bestFit="1" customWidth="1"/>
    <col min="3330" max="3330" width="61.5703125" customWidth="1"/>
    <col min="3331" max="3331" width="10" customWidth="1"/>
    <col min="3332" max="3332" width="11.85546875" customWidth="1"/>
    <col min="3333" max="3333" width="12.42578125" customWidth="1"/>
    <col min="3334" max="3334" width="9.7109375" customWidth="1"/>
    <col min="3335" max="3335" width="12" customWidth="1"/>
    <col min="3336" max="3336" width="13.28515625" customWidth="1"/>
    <col min="3337" max="3337" width="11.140625" customWidth="1"/>
    <col min="3338" max="3342" width="0" hidden="1" customWidth="1"/>
    <col min="3585" max="3585" width="3.85546875" bestFit="1" customWidth="1"/>
    <col min="3586" max="3586" width="61.5703125" customWidth="1"/>
    <col min="3587" max="3587" width="10" customWidth="1"/>
    <col min="3588" max="3588" width="11.85546875" customWidth="1"/>
    <col min="3589" max="3589" width="12.42578125" customWidth="1"/>
    <col min="3590" max="3590" width="9.7109375" customWidth="1"/>
    <col min="3591" max="3591" width="12" customWidth="1"/>
    <col min="3592" max="3592" width="13.28515625" customWidth="1"/>
    <col min="3593" max="3593" width="11.140625" customWidth="1"/>
    <col min="3594" max="3598" width="0" hidden="1" customWidth="1"/>
    <col min="3841" max="3841" width="3.85546875" bestFit="1" customWidth="1"/>
    <col min="3842" max="3842" width="61.5703125" customWidth="1"/>
    <col min="3843" max="3843" width="10" customWidth="1"/>
    <col min="3844" max="3844" width="11.85546875" customWidth="1"/>
    <col min="3845" max="3845" width="12.42578125" customWidth="1"/>
    <col min="3846" max="3846" width="9.7109375" customWidth="1"/>
    <col min="3847" max="3847" width="12" customWidth="1"/>
    <col min="3848" max="3848" width="13.28515625" customWidth="1"/>
    <col min="3849" max="3849" width="11.140625" customWidth="1"/>
    <col min="3850" max="3854" width="0" hidden="1" customWidth="1"/>
    <col min="4097" max="4097" width="3.85546875" bestFit="1" customWidth="1"/>
    <col min="4098" max="4098" width="61.5703125" customWidth="1"/>
    <col min="4099" max="4099" width="10" customWidth="1"/>
    <col min="4100" max="4100" width="11.85546875" customWidth="1"/>
    <col min="4101" max="4101" width="12.42578125" customWidth="1"/>
    <col min="4102" max="4102" width="9.7109375" customWidth="1"/>
    <col min="4103" max="4103" width="12" customWidth="1"/>
    <col min="4104" max="4104" width="13.28515625" customWidth="1"/>
    <col min="4105" max="4105" width="11.140625" customWidth="1"/>
    <col min="4106" max="4110" width="0" hidden="1" customWidth="1"/>
    <col min="4353" max="4353" width="3.85546875" bestFit="1" customWidth="1"/>
    <col min="4354" max="4354" width="61.5703125" customWidth="1"/>
    <col min="4355" max="4355" width="10" customWidth="1"/>
    <col min="4356" max="4356" width="11.85546875" customWidth="1"/>
    <col min="4357" max="4357" width="12.42578125" customWidth="1"/>
    <col min="4358" max="4358" width="9.7109375" customWidth="1"/>
    <col min="4359" max="4359" width="12" customWidth="1"/>
    <col min="4360" max="4360" width="13.28515625" customWidth="1"/>
    <col min="4361" max="4361" width="11.140625" customWidth="1"/>
    <col min="4362" max="4366" width="0" hidden="1" customWidth="1"/>
    <col min="4609" max="4609" width="3.85546875" bestFit="1" customWidth="1"/>
    <col min="4610" max="4610" width="61.5703125" customWidth="1"/>
    <col min="4611" max="4611" width="10" customWidth="1"/>
    <col min="4612" max="4612" width="11.85546875" customWidth="1"/>
    <col min="4613" max="4613" width="12.42578125" customWidth="1"/>
    <col min="4614" max="4614" width="9.7109375" customWidth="1"/>
    <col min="4615" max="4615" width="12" customWidth="1"/>
    <col min="4616" max="4616" width="13.28515625" customWidth="1"/>
    <col min="4617" max="4617" width="11.140625" customWidth="1"/>
    <col min="4618" max="4622" width="0" hidden="1" customWidth="1"/>
    <col min="4865" max="4865" width="3.85546875" bestFit="1" customWidth="1"/>
    <col min="4866" max="4866" width="61.5703125" customWidth="1"/>
    <col min="4867" max="4867" width="10" customWidth="1"/>
    <col min="4868" max="4868" width="11.85546875" customWidth="1"/>
    <col min="4869" max="4869" width="12.42578125" customWidth="1"/>
    <col min="4870" max="4870" width="9.7109375" customWidth="1"/>
    <col min="4871" max="4871" width="12" customWidth="1"/>
    <col min="4872" max="4872" width="13.28515625" customWidth="1"/>
    <col min="4873" max="4873" width="11.140625" customWidth="1"/>
    <col min="4874" max="4878" width="0" hidden="1" customWidth="1"/>
    <col min="5121" max="5121" width="3.85546875" bestFit="1" customWidth="1"/>
    <col min="5122" max="5122" width="61.5703125" customWidth="1"/>
    <col min="5123" max="5123" width="10" customWidth="1"/>
    <col min="5124" max="5124" width="11.85546875" customWidth="1"/>
    <col min="5125" max="5125" width="12.42578125" customWidth="1"/>
    <col min="5126" max="5126" width="9.7109375" customWidth="1"/>
    <col min="5127" max="5127" width="12" customWidth="1"/>
    <col min="5128" max="5128" width="13.28515625" customWidth="1"/>
    <col min="5129" max="5129" width="11.140625" customWidth="1"/>
    <col min="5130" max="5134" width="0" hidden="1" customWidth="1"/>
    <col min="5377" max="5377" width="3.85546875" bestFit="1" customWidth="1"/>
    <col min="5378" max="5378" width="61.5703125" customWidth="1"/>
    <col min="5379" max="5379" width="10" customWidth="1"/>
    <col min="5380" max="5380" width="11.85546875" customWidth="1"/>
    <col min="5381" max="5381" width="12.42578125" customWidth="1"/>
    <col min="5382" max="5382" width="9.7109375" customWidth="1"/>
    <col min="5383" max="5383" width="12" customWidth="1"/>
    <col min="5384" max="5384" width="13.28515625" customWidth="1"/>
    <col min="5385" max="5385" width="11.140625" customWidth="1"/>
    <col min="5386" max="5390" width="0" hidden="1" customWidth="1"/>
    <col min="5633" max="5633" width="3.85546875" bestFit="1" customWidth="1"/>
    <col min="5634" max="5634" width="61.5703125" customWidth="1"/>
    <col min="5635" max="5635" width="10" customWidth="1"/>
    <col min="5636" max="5636" width="11.85546875" customWidth="1"/>
    <col min="5637" max="5637" width="12.42578125" customWidth="1"/>
    <col min="5638" max="5638" width="9.7109375" customWidth="1"/>
    <col min="5639" max="5639" width="12" customWidth="1"/>
    <col min="5640" max="5640" width="13.28515625" customWidth="1"/>
    <col min="5641" max="5641" width="11.140625" customWidth="1"/>
    <col min="5642" max="5646" width="0" hidden="1" customWidth="1"/>
    <col min="5889" max="5889" width="3.85546875" bestFit="1" customWidth="1"/>
    <col min="5890" max="5890" width="61.5703125" customWidth="1"/>
    <col min="5891" max="5891" width="10" customWidth="1"/>
    <col min="5892" max="5892" width="11.85546875" customWidth="1"/>
    <col min="5893" max="5893" width="12.42578125" customWidth="1"/>
    <col min="5894" max="5894" width="9.7109375" customWidth="1"/>
    <col min="5895" max="5895" width="12" customWidth="1"/>
    <col min="5896" max="5896" width="13.28515625" customWidth="1"/>
    <col min="5897" max="5897" width="11.140625" customWidth="1"/>
    <col min="5898" max="5902" width="0" hidden="1" customWidth="1"/>
    <col min="6145" max="6145" width="3.85546875" bestFit="1" customWidth="1"/>
    <col min="6146" max="6146" width="61.5703125" customWidth="1"/>
    <col min="6147" max="6147" width="10" customWidth="1"/>
    <col min="6148" max="6148" width="11.85546875" customWidth="1"/>
    <col min="6149" max="6149" width="12.42578125" customWidth="1"/>
    <col min="6150" max="6150" width="9.7109375" customWidth="1"/>
    <col min="6151" max="6151" width="12" customWidth="1"/>
    <col min="6152" max="6152" width="13.28515625" customWidth="1"/>
    <col min="6153" max="6153" width="11.140625" customWidth="1"/>
    <col min="6154" max="6158" width="0" hidden="1" customWidth="1"/>
    <col min="6401" max="6401" width="3.85546875" bestFit="1" customWidth="1"/>
    <col min="6402" max="6402" width="61.5703125" customWidth="1"/>
    <col min="6403" max="6403" width="10" customWidth="1"/>
    <col min="6404" max="6404" width="11.85546875" customWidth="1"/>
    <col min="6405" max="6405" width="12.42578125" customWidth="1"/>
    <col min="6406" max="6406" width="9.7109375" customWidth="1"/>
    <col min="6407" max="6407" width="12" customWidth="1"/>
    <col min="6408" max="6408" width="13.28515625" customWidth="1"/>
    <col min="6409" max="6409" width="11.140625" customWidth="1"/>
    <col min="6410" max="6414" width="0" hidden="1" customWidth="1"/>
    <col min="6657" max="6657" width="3.85546875" bestFit="1" customWidth="1"/>
    <col min="6658" max="6658" width="61.5703125" customWidth="1"/>
    <col min="6659" max="6659" width="10" customWidth="1"/>
    <col min="6660" max="6660" width="11.85546875" customWidth="1"/>
    <col min="6661" max="6661" width="12.42578125" customWidth="1"/>
    <col min="6662" max="6662" width="9.7109375" customWidth="1"/>
    <col min="6663" max="6663" width="12" customWidth="1"/>
    <col min="6664" max="6664" width="13.28515625" customWidth="1"/>
    <col min="6665" max="6665" width="11.140625" customWidth="1"/>
    <col min="6666" max="6670" width="0" hidden="1" customWidth="1"/>
    <col min="6913" max="6913" width="3.85546875" bestFit="1" customWidth="1"/>
    <col min="6914" max="6914" width="61.5703125" customWidth="1"/>
    <col min="6915" max="6915" width="10" customWidth="1"/>
    <col min="6916" max="6916" width="11.85546875" customWidth="1"/>
    <col min="6917" max="6917" width="12.42578125" customWidth="1"/>
    <col min="6918" max="6918" width="9.7109375" customWidth="1"/>
    <col min="6919" max="6919" width="12" customWidth="1"/>
    <col min="6920" max="6920" width="13.28515625" customWidth="1"/>
    <col min="6921" max="6921" width="11.140625" customWidth="1"/>
    <col min="6922" max="6926" width="0" hidden="1" customWidth="1"/>
    <col min="7169" max="7169" width="3.85546875" bestFit="1" customWidth="1"/>
    <col min="7170" max="7170" width="61.5703125" customWidth="1"/>
    <col min="7171" max="7171" width="10" customWidth="1"/>
    <col min="7172" max="7172" width="11.85546875" customWidth="1"/>
    <col min="7173" max="7173" width="12.42578125" customWidth="1"/>
    <col min="7174" max="7174" width="9.7109375" customWidth="1"/>
    <col min="7175" max="7175" width="12" customWidth="1"/>
    <col min="7176" max="7176" width="13.28515625" customWidth="1"/>
    <col min="7177" max="7177" width="11.140625" customWidth="1"/>
    <col min="7178" max="7182" width="0" hidden="1" customWidth="1"/>
    <col min="7425" max="7425" width="3.85546875" bestFit="1" customWidth="1"/>
    <col min="7426" max="7426" width="61.5703125" customWidth="1"/>
    <col min="7427" max="7427" width="10" customWidth="1"/>
    <col min="7428" max="7428" width="11.85546875" customWidth="1"/>
    <col min="7429" max="7429" width="12.42578125" customWidth="1"/>
    <col min="7430" max="7430" width="9.7109375" customWidth="1"/>
    <col min="7431" max="7431" width="12" customWidth="1"/>
    <col min="7432" max="7432" width="13.28515625" customWidth="1"/>
    <col min="7433" max="7433" width="11.140625" customWidth="1"/>
    <col min="7434" max="7438" width="0" hidden="1" customWidth="1"/>
    <col min="7681" max="7681" width="3.85546875" bestFit="1" customWidth="1"/>
    <col min="7682" max="7682" width="61.5703125" customWidth="1"/>
    <col min="7683" max="7683" width="10" customWidth="1"/>
    <col min="7684" max="7684" width="11.85546875" customWidth="1"/>
    <col min="7685" max="7685" width="12.42578125" customWidth="1"/>
    <col min="7686" max="7686" width="9.7109375" customWidth="1"/>
    <col min="7687" max="7687" width="12" customWidth="1"/>
    <col min="7688" max="7688" width="13.28515625" customWidth="1"/>
    <col min="7689" max="7689" width="11.140625" customWidth="1"/>
    <col min="7690" max="7694" width="0" hidden="1" customWidth="1"/>
    <col min="7937" max="7937" width="3.85546875" bestFit="1" customWidth="1"/>
    <col min="7938" max="7938" width="61.5703125" customWidth="1"/>
    <col min="7939" max="7939" width="10" customWidth="1"/>
    <col min="7940" max="7940" width="11.85546875" customWidth="1"/>
    <col min="7941" max="7941" width="12.42578125" customWidth="1"/>
    <col min="7942" max="7942" width="9.7109375" customWidth="1"/>
    <col min="7943" max="7943" width="12" customWidth="1"/>
    <col min="7944" max="7944" width="13.28515625" customWidth="1"/>
    <col min="7945" max="7945" width="11.140625" customWidth="1"/>
    <col min="7946" max="7950" width="0" hidden="1" customWidth="1"/>
    <col min="8193" max="8193" width="3.85546875" bestFit="1" customWidth="1"/>
    <col min="8194" max="8194" width="61.5703125" customWidth="1"/>
    <col min="8195" max="8195" width="10" customWidth="1"/>
    <col min="8196" max="8196" width="11.85546875" customWidth="1"/>
    <col min="8197" max="8197" width="12.42578125" customWidth="1"/>
    <col min="8198" max="8198" width="9.7109375" customWidth="1"/>
    <col min="8199" max="8199" width="12" customWidth="1"/>
    <col min="8200" max="8200" width="13.28515625" customWidth="1"/>
    <col min="8201" max="8201" width="11.140625" customWidth="1"/>
    <col min="8202" max="8206" width="0" hidden="1" customWidth="1"/>
    <col min="8449" max="8449" width="3.85546875" bestFit="1" customWidth="1"/>
    <col min="8450" max="8450" width="61.5703125" customWidth="1"/>
    <col min="8451" max="8451" width="10" customWidth="1"/>
    <col min="8452" max="8452" width="11.85546875" customWidth="1"/>
    <col min="8453" max="8453" width="12.42578125" customWidth="1"/>
    <col min="8454" max="8454" width="9.7109375" customWidth="1"/>
    <col min="8455" max="8455" width="12" customWidth="1"/>
    <col min="8456" max="8456" width="13.28515625" customWidth="1"/>
    <col min="8457" max="8457" width="11.140625" customWidth="1"/>
    <col min="8458" max="8462" width="0" hidden="1" customWidth="1"/>
    <col min="8705" max="8705" width="3.85546875" bestFit="1" customWidth="1"/>
    <col min="8706" max="8706" width="61.5703125" customWidth="1"/>
    <col min="8707" max="8707" width="10" customWidth="1"/>
    <col min="8708" max="8708" width="11.85546875" customWidth="1"/>
    <col min="8709" max="8709" width="12.42578125" customWidth="1"/>
    <col min="8710" max="8710" width="9.7109375" customWidth="1"/>
    <col min="8711" max="8711" width="12" customWidth="1"/>
    <col min="8712" max="8712" width="13.28515625" customWidth="1"/>
    <col min="8713" max="8713" width="11.140625" customWidth="1"/>
    <col min="8714" max="8718" width="0" hidden="1" customWidth="1"/>
    <col min="8961" max="8961" width="3.85546875" bestFit="1" customWidth="1"/>
    <col min="8962" max="8962" width="61.5703125" customWidth="1"/>
    <col min="8963" max="8963" width="10" customWidth="1"/>
    <col min="8964" max="8964" width="11.85546875" customWidth="1"/>
    <col min="8965" max="8965" width="12.42578125" customWidth="1"/>
    <col min="8966" max="8966" width="9.7109375" customWidth="1"/>
    <col min="8967" max="8967" width="12" customWidth="1"/>
    <col min="8968" max="8968" width="13.28515625" customWidth="1"/>
    <col min="8969" max="8969" width="11.140625" customWidth="1"/>
    <col min="8970" max="8974" width="0" hidden="1" customWidth="1"/>
    <col min="9217" max="9217" width="3.85546875" bestFit="1" customWidth="1"/>
    <col min="9218" max="9218" width="61.5703125" customWidth="1"/>
    <col min="9219" max="9219" width="10" customWidth="1"/>
    <col min="9220" max="9220" width="11.85546875" customWidth="1"/>
    <col min="9221" max="9221" width="12.42578125" customWidth="1"/>
    <col min="9222" max="9222" width="9.7109375" customWidth="1"/>
    <col min="9223" max="9223" width="12" customWidth="1"/>
    <col min="9224" max="9224" width="13.28515625" customWidth="1"/>
    <col min="9225" max="9225" width="11.140625" customWidth="1"/>
    <col min="9226" max="9230" width="0" hidden="1" customWidth="1"/>
    <col min="9473" max="9473" width="3.85546875" bestFit="1" customWidth="1"/>
    <col min="9474" max="9474" width="61.5703125" customWidth="1"/>
    <col min="9475" max="9475" width="10" customWidth="1"/>
    <col min="9476" max="9476" width="11.85546875" customWidth="1"/>
    <col min="9477" max="9477" width="12.42578125" customWidth="1"/>
    <col min="9478" max="9478" width="9.7109375" customWidth="1"/>
    <col min="9479" max="9479" width="12" customWidth="1"/>
    <col min="9480" max="9480" width="13.28515625" customWidth="1"/>
    <col min="9481" max="9481" width="11.140625" customWidth="1"/>
    <col min="9482" max="9486" width="0" hidden="1" customWidth="1"/>
    <col min="9729" max="9729" width="3.85546875" bestFit="1" customWidth="1"/>
    <col min="9730" max="9730" width="61.5703125" customWidth="1"/>
    <col min="9731" max="9731" width="10" customWidth="1"/>
    <col min="9732" max="9732" width="11.85546875" customWidth="1"/>
    <col min="9733" max="9733" width="12.42578125" customWidth="1"/>
    <col min="9734" max="9734" width="9.7109375" customWidth="1"/>
    <col min="9735" max="9735" width="12" customWidth="1"/>
    <col min="9736" max="9736" width="13.28515625" customWidth="1"/>
    <col min="9737" max="9737" width="11.140625" customWidth="1"/>
    <col min="9738" max="9742" width="0" hidden="1" customWidth="1"/>
    <col min="9985" max="9985" width="3.85546875" bestFit="1" customWidth="1"/>
    <col min="9986" max="9986" width="61.5703125" customWidth="1"/>
    <col min="9987" max="9987" width="10" customWidth="1"/>
    <col min="9988" max="9988" width="11.85546875" customWidth="1"/>
    <col min="9989" max="9989" width="12.42578125" customWidth="1"/>
    <col min="9990" max="9990" width="9.7109375" customWidth="1"/>
    <col min="9991" max="9991" width="12" customWidth="1"/>
    <col min="9992" max="9992" width="13.28515625" customWidth="1"/>
    <col min="9993" max="9993" width="11.140625" customWidth="1"/>
    <col min="9994" max="9998" width="0" hidden="1" customWidth="1"/>
    <col min="10241" max="10241" width="3.85546875" bestFit="1" customWidth="1"/>
    <col min="10242" max="10242" width="61.5703125" customWidth="1"/>
    <col min="10243" max="10243" width="10" customWidth="1"/>
    <col min="10244" max="10244" width="11.85546875" customWidth="1"/>
    <col min="10245" max="10245" width="12.42578125" customWidth="1"/>
    <col min="10246" max="10246" width="9.7109375" customWidth="1"/>
    <col min="10247" max="10247" width="12" customWidth="1"/>
    <col min="10248" max="10248" width="13.28515625" customWidth="1"/>
    <col min="10249" max="10249" width="11.140625" customWidth="1"/>
    <col min="10250" max="10254" width="0" hidden="1" customWidth="1"/>
    <col min="10497" max="10497" width="3.85546875" bestFit="1" customWidth="1"/>
    <col min="10498" max="10498" width="61.5703125" customWidth="1"/>
    <col min="10499" max="10499" width="10" customWidth="1"/>
    <col min="10500" max="10500" width="11.85546875" customWidth="1"/>
    <col min="10501" max="10501" width="12.42578125" customWidth="1"/>
    <col min="10502" max="10502" width="9.7109375" customWidth="1"/>
    <col min="10503" max="10503" width="12" customWidth="1"/>
    <col min="10504" max="10504" width="13.28515625" customWidth="1"/>
    <col min="10505" max="10505" width="11.140625" customWidth="1"/>
    <col min="10506" max="10510" width="0" hidden="1" customWidth="1"/>
    <col min="10753" max="10753" width="3.85546875" bestFit="1" customWidth="1"/>
    <col min="10754" max="10754" width="61.5703125" customWidth="1"/>
    <col min="10755" max="10755" width="10" customWidth="1"/>
    <col min="10756" max="10756" width="11.85546875" customWidth="1"/>
    <col min="10757" max="10757" width="12.42578125" customWidth="1"/>
    <col min="10758" max="10758" width="9.7109375" customWidth="1"/>
    <col min="10759" max="10759" width="12" customWidth="1"/>
    <col min="10760" max="10760" width="13.28515625" customWidth="1"/>
    <col min="10761" max="10761" width="11.140625" customWidth="1"/>
    <col min="10762" max="10766" width="0" hidden="1" customWidth="1"/>
    <col min="11009" max="11009" width="3.85546875" bestFit="1" customWidth="1"/>
    <col min="11010" max="11010" width="61.5703125" customWidth="1"/>
    <col min="11011" max="11011" width="10" customWidth="1"/>
    <col min="11012" max="11012" width="11.85546875" customWidth="1"/>
    <col min="11013" max="11013" width="12.42578125" customWidth="1"/>
    <col min="11014" max="11014" width="9.7109375" customWidth="1"/>
    <col min="11015" max="11015" width="12" customWidth="1"/>
    <col min="11016" max="11016" width="13.28515625" customWidth="1"/>
    <col min="11017" max="11017" width="11.140625" customWidth="1"/>
    <col min="11018" max="11022" width="0" hidden="1" customWidth="1"/>
    <col min="11265" max="11265" width="3.85546875" bestFit="1" customWidth="1"/>
    <col min="11266" max="11266" width="61.5703125" customWidth="1"/>
    <col min="11267" max="11267" width="10" customWidth="1"/>
    <col min="11268" max="11268" width="11.85546875" customWidth="1"/>
    <col min="11269" max="11269" width="12.42578125" customWidth="1"/>
    <col min="11270" max="11270" width="9.7109375" customWidth="1"/>
    <col min="11271" max="11271" width="12" customWidth="1"/>
    <col min="11272" max="11272" width="13.28515625" customWidth="1"/>
    <col min="11273" max="11273" width="11.140625" customWidth="1"/>
    <col min="11274" max="11278" width="0" hidden="1" customWidth="1"/>
    <col min="11521" max="11521" width="3.85546875" bestFit="1" customWidth="1"/>
    <col min="11522" max="11522" width="61.5703125" customWidth="1"/>
    <col min="11523" max="11523" width="10" customWidth="1"/>
    <col min="11524" max="11524" width="11.85546875" customWidth="1"/>
    <col min="11525" max="11525" width="12.42578125" customWidth="1"/>
    <col min="11526" max="11526" width="9.7109375" customWidth="1"/>
    <col min="11527" max="11527" width="12" customWidth="1"/>
    <col min="11528" max="11528" width="13.28515625" customWidth="1"/>
    <col min="11529" max="11529" width="11.140625" customWidth="1"/>
    <col min="11530" max="11534" width="0" hidden="1" customWidth="1"/>
    <col min="11777" max="11777" width="3.85546875" bestFit="1" customWidth="1"/>
    <col min="11778" max="11778" width="61.5703125" customWidth="1"/>
    <col min="11779" max="11779" width="10" customWidth="1"/>
    <col min="11780" max="11780" width="11.85546875" customWidth="1"/>
    <col min="11781" max="11781" width="12.42578125" customWidth="1"/>
    <col min="11782" max="11782" width="9.7109375" customWidth="1"/>
    <col min="11783" max="11783" width="12" customWidth="1"/>
    <col min="11784" max="11784" width="13.28515625" customWidth="1"/>
    <col min="11785" max="11785" width="11.140625" customWidth="1"/>
    <col min="11786" max="11790" width="0" hidden="1" customWidth="1"/>
    <col min="12033" max="12033" width="3.85546875" bestFit="1" customWidth="1"/>
    <col min="12034" max="12034" width="61.5703125" customWidth="1"/>
    <col min="12035" max="12035" width="10" customWidth="1"/>
    <col min="12036" max="12036" width="11.85546875" customWidth="1"/>
    <col min="12037" max="12037" width="12.42578125" customWidth="1"/>
    <col min="12038" max="12038" width="9.7109375" customWidth="1"/>
    <col min="12039" max="12039" width="12" customWidth="1"/>
    <col min="12040" max="12040" width="13.28515625" customWidth="1"/>
    <col min="12041" max="12041" width="11.140625" customWidth="1"/>
    <col min="12042" max="12046" width="0" hidden="1" customWidth="1"/>
    <col min="12289" max="12289" width="3.85546875" bestFit="1" customWidth="1"/>
    <col min="12290" max="12290" width="61.5703125" customWidth="1"/>
    <col min="12291" max="12291" width="10" customWidth="1"/>
    <col min="12292" max="12292" width="11.85546875" customWidth="1"/>
    <col min="12293" max="12293" width="12.42578125" customWidth="1"/>
    <col min="12294" max="12294" width="9.7109375" customWidth="1"/>
    <col min="12295" max="12295" width="12" customWidth="1"/>
    <col min="12296" max="12296" width="13.28515625" customWidth="1"/>
    <col min="12297" max="12297" width="11.140625" customWidth="1"/>
    <col min="12298" max="12302" width="0" hidden="1" customWidth="1"/>
    <col min="12545" max="12545" width="3.85546875" bestFit="1" customWidth="1"/>
    <col min="12546" max="12546" width="61.5703125" customWidth="1"/>
    <col min="12547" max="12547" width="10" customWidth="1"/>
    <col min="12548" max="12548" width="11.85546875" customWidth="1"/>
    <col min="12549" max="12549" width="12.42578125" customWidth="1"/>
    <col min="12550" max="12550" width="9.7109375" customWidth="1"/>
    <col min="12551" max="12551" width="12" customWidth="1"/>
    <col min="12552" max="12552" width="13.28515625" customWidth="1"/>
    <col min="12553" max="12553" width="11.140625" customWidth="1"/>
    <col min="12554" max="12558" width="0" hidden="1" customWidth="1"/>
    <col min="12801" max="12801" width="3.85546875" bestFit="1" customWidth="1"/>
    <col min="12802" max="12802" width="61.5703125" customWidth="1"/>
    <col min="12803" max="12803" width="10" customWidth="1"/>
    <col min="12804" max="12804" width="11.85546875" customWidth="1"/>
    <col min="12805" max="12805" width="12.42578125" customWidth="1"/>
    <col min="12806" max="12806" width="9.7109375" customWidth="1"/>
    <col min="12807" max="12807" width="12" customWidth="1"/>
    <col min="12808" max="12808" width="13.28515625" customWidth="1"/>
    <col min="12809" max="12809" width="11.140625" customWidth="1"/>
    <col min="12810" max="12814" width="0" hidden="1" customWidth="1"/>
    <col min="13057" max="13057" width="3.85546875" bestFit="1" customWidth="1"/>
    <col min="13058" max="13058" width="61.5703125" customWidth="1"/>
    <col min="13059" max="13059" width="10" customWidth="1"/>
    <col min="13060" max="13060" width="11.85546875" customWidth="1"/>
    <col min="13061" max="13061" width="12.42578125" customWidth="1"/>
    <col min="13062" max="13062" width="9.7109375" customWidth="1"/>
    <col min="13063" max="13063" width="12" customWidth="1"/>
    <col min="13064" max="13064" width="13.28515625" customWidth="1"/>
    <col min="13065" max="13065" width="11.140625" customWidth="1"/>
    <col min="13066" max="13070" width="0" hidden="1" customWidth="1"/>
    <col min="13313" max="13313" width="3.85546875" bestFit="1" customWidth="1"/>
    <col min="13314" max="13314" width="61.5703125" customWidth="1"/>
    <col min="13315" max="13315" width="10" customWidth="1"/>
    <col min="13316" max="13316" width="11.85546875" customWidth="1"/>
    <col min="13317" max="13317" width="12.42578125" customWidth="1"/>
    <col min="13318" max="13318" width="9.7109375" customWidth="1"/>
    <col min="13319" max="13319" width="12" customWidth="1"/>
    <col min="13320" max="13320" width="13.28515625" customWidth="1"/>
    <col min="13321" max="13321" width="11.140625" customWidth="1"/>
    <col min="13322" max="13326" width="0" hidden="1" customWidth="1"/>
    <col min="13569" max="13569" width="3.85546875" bestFit="1" customWidth="1"/>
    <col min="13570" max="13570" width="61.5703125" customWidth="1"/>
    <col min="13571" max="13571" width="10" customWidth="1"/>
    <col min="13572" max="13572" width="11.85546875" customWidth="1"/>
    <col min="13573" max="13573" width="12.42578125" customWidth="1"/>
    <col min="13574" max="13574" width="9.7109375" customWidth="1"/>
    <col min="13575" max="13575" width="12" customWidth="1"/>
    <col min="13576" max="13576" width="13.28515625" customWidth="1"/>
    <col min="13577" max="13577" width="11.140625" customWidth="1"/>
    <col min="13578" max="13582" width="0" hidden="1" customWidth="1"/>
    <col min="13825" max="13825" width="3.85546875" bestFit="1" customWidth="1"/>
    <col min="13826" max="13826" width="61.5703125" customWidth="1"/>
    <col min="13827" max="13827" width="10" customWidth="1"/>
    <col min="13828" max="13828" width="11.85546875" customWidth="1"/>
    <col min="13829" max="13829" width="12.42578125" customWidth="1"/>
    <col min="13830" max="13830" width="9.7109375" customWidth="1"/>
    <col min="13831" max="13831" width="12" customWidth="1"/>
    <col min="13832" max="13832" width="13.28515625" customWidth="1"/>
    <col min="13833" max="13833" width="11.140625" customWidth="1"/>
    <col min="13834" max="13838" width="0" hidden="1" customWidth="1"/>
    <col min="14081" max="14081" width="3.85546875" bestFit="1" customWidth="1"/>
    <col min="14082" max="14082" width="61.5703125" customWidth="1"/>
    <col min="14083" max="14083" width="10" customWidth="1"/>
    <col min="14084" max="14084" width="11.85546875" customWidth="1"/>
    <col min="14085" max="14085" width="12.42578125" customWidth="1"/>
    <col min="14086" max="14086" width="9.7109375" customWidth="1"/>
    <col min="14087" max="14087" width="12" customWidth="1"/>
    <col min="14088" max="14088" width="13.28515625" customWidth="1"/>
    <col min="14089" max="14089" width="11.140625" customWidth="1"/>
    <col min="14090" max="14094" width="0" hidden="1" customWidth="1"/>
    <col min="14337" max="14337" width="3.85546875" bestFit="1" customWidth="1"/>
    <col min="14338" max="14338" width="61.5703125" customWidth="1"/>
    <col min="14339" max="14339" width="10" customWidth="1"/>
    <col min="14340" max="14340" width="11.85546875" customWidth="1"/>
    <col min="14341" max="14341" width="12.42578125" customWidth="1"/>
    <col min="14342" max="14342" width="9.7109375" customWidth="1"/>
    <col min="14343" max="14343" width="12" customWidth="1"/>
    <col min="14344" max="14344" width="13.28515625" customWidth="1"/>
    <col min="14345" max="14345" width="11.140625" customWidth="1"/>
    <col min="14346" max="14350" width="0" hidden="1" customWidth="1"/>
    <col min="14593" max="14593" width="3.85546875" bestFit="1" customWidth="1"/>
    <col min="14594" max="14594" width="61.5703125" customWidth="1"/>
    <col min="14595" max="14595" width="10" customWidth="1"/>
    <col min="14596" max="14596" width="11.85546875" customWidth="1"/>
    <col min="14597" max="14597" width="12.42578125" customWidth="1"/>
    <col min="14598" max="14598" width="9.7109375" customWidth="1"/>
    <col min="14599" max="14599" width="12" customWidth="1"/>
    <col min="14600" max="14600" width="13.28515625" customWidth="1"/>
    <col min="14601" max="14601" width="11.140625" customWidth="1"/>
    <col min="14602" max="14606" width="0" hidden="1" customWidth="1"/>
    <col min="14849" max="14849" width="3.85546875" bestFit="1" customWidth="1"/>
    <col min="14850" max="14850" width="61.5703125" customWidth="1"/>
    <col min="14851" max="14851" width="10" customWidth="1"/>
    <col min="14852" max="14852" width="11.85546875" customWidth="1"/>
    <col min="14853" max="14853" width="12.42578125" customWidth="1"/>
    <col min="14854" max="14854" width="9.7109375" customWidth="1"/>
    <col min="14855" max="14855" width="12" customWidth="1"/>
    <col min="14856" max="14856" width="13.28515625" customWidth="1"/>
    <col min="14857" max="14857" width="11.140625" customWidth="1"/>
    <col min="14858" max="14862" width="0" hidden="1" customWidth="1"/>
    <col min="15105" max="15105" width="3.85546875" bestFit="1" customWidth="1"/>
    <col min="15106" max="15106" width="61.5703125" customWidth="1"/>
    <col min="15107" max="15107" width="10" customWidth="1"/>
    <col min="15108" max="15108" width="11.85546875" customWidth="1"/>
    <col min="15109" max="15109" width="12.42578125" customWidth="1"/>
    <col min="15110" max="15110" width="9.7109375" customWidth="1"/>
    <col min="15111" max="15111" width="12" customWidth="1"/>
    <col min="15112" max="15112" width="13.28515625" customWidth="1"/>
    <col min="15113" max="15113" width="11.140625" customWidth="1"/>
    <col min="15114" max="15118" width="0" hidden="1" customWidth="1"/>
    <col min="15361" max="15361" width="3.85546875" bestFit="1" customWidth="1"/>
    <col min="15362" max="15362" width="61.5703125" customWidth="1"/>
    <col min="15363" max="15363" width="10" customWidth="1"/>
    <col min="15364" max="15364" width="11.85546875" customWidth="1"/>
    <col min="15365" max="15365" width="12.42578125" customWidth="1"/>
    <col min="15366" max="15366" width="9.7109375" customWidth="1"/>
    <col min="15367" max="15367" width="12" customWidth="1"/>
    <col min="15368" max="15368" width="13.28515625" customWidth="1"/>
    <col min="15369" max="15369" width="11.140625" customWidth="1"/>
    <col min="15370" max="15374" width="0" hidden="1" customWidth="1"/>
    <col min="15617" max="15617" width="3.85546875" bestFit="1" customWidth="1"/>
    <col min="15618" max="15618" width="61.5703125" customWidth="1"/>
    <col min="15619" max="15619" width="10" customWidth="1"/>
    <col min="15620" max="15620" width="11.85546875" customWidth="1"/>
    <col min="15621" max="15621" width="12.42578125" customWidth="1"/>
    <col min="15622" max="15622" width="9.7109375" customWidth="1"/>
    <col min="15623" max="15623" width="12" customWidth="1"/>
    <col min="15624" max="15624" width="13.28515625" customWidth="1"/>
    <col min="15625" max="15625" width="11.140625" customWidth="1"/>
    <col min="15626" max="15630" width="0" hidden="1" customWidth="1"/>
    <col min="15873" max="15873" width="3.85546875" bestFit="1" customWidth="1"/>
    <col min="15874" max="15874" width="61.5703125" customWidth="1"/>
    <col min="15875" max="15875" width="10" customWidth="1"/>
    <col min="15876" max="15876" width="11.85546875" customWidth="1"/>
    <col min="15877" max="15877" width="12.42578125" customWidth="1"/>
    <col min="15878" max="15878" width="9.7109375" customWidth="1"/>
    <col min="15879" max="15879" width="12" customWidth="1"/>
    <col min="15880" max="15880" width="13.28515625" customWidth="1"/>
    <col min="15881" max="15881" width="11.140625" customWidth="1"/>
    <col min="15882" max="15886" width="0" hidden="1" customWidth="1"/>
    <col min="16129" max="16129" width="3.85546875" bestFit="1" customWidth="1"/>
    <col min="16130" max="16130" width="61.5703125" customWidth="1"/>
    <col min="16131" max="16131" width="10" customWidth="1"/>
    <col min="16132" max="16132" width="11.85546875" customWidth="1"/>
    <col min="16133" max="16133" width="12.42578125" customWidth="1"/>
    <col min="16134" max="16134" width="9.7109375" customWidth="1"/>
    <col min="16135" max="16135" width="12" customWidth="1"/>
    <col min="16136" max="16136" width="13.28515625" customWidth="1"/>
    <col min="16137" max="16137" width="11.140625" customWidth="1"/>
    <col min="16138" max="16142" width="0" hidden="1" customWidth="1"/>
  </cols>
  <sheetData>
    <row r="1" spans="1:11" ht="48" customHeight="1">
      <c r="A1" s="282" t="s">
        <v>217</v>
      </c>
      <c r="B1" s="283"/>
      <c r="C1" s="283"/>
      <c r="D1" s="283"/>
      <c r="E1" s="283"/>
      <c r="F1" s="283"/>
      <c r="G1" s="283"/>
      <c r="H1" s="283"/>
      <c r="I1" s="284"/>
      <c r="J1" s="1"/>
      <c r="K1">
        <f>8183508+115914+111083+8065006+3950803</f>
        <v>20426314</v>
      </c>
    </row>
    <row r="2" spans="1:11" ht="17.25" customHeight="1">
      <c r="A2" s="285" t="s">
        <v>0</v>
      </c>
      <c r="B2" s="287" t="s">
        <v>1</v>
      </c>
      <c r="C2" s="287" t="s">
        <v>2</v>
      </c>
      <c r="D2" s="288" t="s">
        <v>218</v>
      </c>
      <c r="E2" s="289"/>
      <c r="F2" s="289"/>
      <c r="G2" s="289"/>
      <c r="H2" s="290" t="s">
        <v>207</v>
      </c>
      <c r="I2" s="288" t="s">
        <v>3</v>
      </c>
    </row>
    <row r="3" spans="1:11" ht="22.5" customHeight="1">
      <c r="A3" s="286"/>
      <c r="B3" s="287"/>
      <c r="C3" s="287"/>
      <c r="D3" s="84" t="s">
        <v>4</v>
      </c>
      <c r="E3" s="83" t="s">
        <v>5</v>
      </c>
      <c r="F3" s="83" t="s">
        <v>6</v>
      </c>
      <c r="G3" s="83" t="s">
        <v>7</v>
      </c>
      <c r="H3" s="290"/>
      <c r="I3" s="288"/>
    </row>
    <row r="4" spans="1:11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1" ht="15.75">
      <c r="A5" s="2" t="s">
        <v>9</v>
      </c>
      <c r="B5" s="3" t="s">
        <v>10</v>
      </c>
      <c r="C5" s="4" t="s">
        <v>11</v>
      </c>
      <c r="D5" s="5">
        <f>D8+D9+D7</f>
        <v>2044.5</v>
      </c>
      <c r="E5" s="5">
        <f>E8+E9+E7</f>
        <v>1399.912</v>
      </c>
      <c r="F5" s="5">
        <f>ROUND(E5/D5*100,1)</f>
        <v>68.5</v>
      </c>
      <c r="G5" s="5">
        <f>E5-D5</f>
        <v>-644.58799999999997</v>
      </c>
      <c r="H5" s="85">
        <f>H7+H8+H9</f>
        <v>1409.3</v>
      </c>
      <c r="I5" s="6">
        <f>IF(H5&gt;0,ROUND(E5/H5*100,1),0)</f>
        <v>99.3</v>
      </c>
    </row>
    <row r="6" spans="1:11" ht="15.75" customHeight="1">
      <c r="A6" s="2"/>
      <c r="B6" s="2" t="s">
        <v>12</v>
      </c>
      <c r="C6" s="2"/>
      <c r="F6" s="7"/>
      <c r="G6" s="7"/>
      <c r="H6" s="86"/>
      <c r="I6" s="7"/>
    </row>
    <row r="7" spans="1:11" ht="15.75">
      <c r="A7" s="2"/>
      <c r="B7" s="8" t="s">
        <v>13</v>
      </c>
      <c r="C7" s="2" t="s">
        <v>11</v>
      </c>
      <c r="D7" s="87">
        <v>1827.5</v>
      </c>
      <c r="E7" s="88">
        <v>1237.278</v>
      </c>
      <c r="F7" s="7">
        <f>ROUND(E7/D7*100,1)</f>
        <v>67.7</v>
      </c>
      <c r="G7" s="7">
        <f>E7-D7</f>
        <v>-590.22199999999998</v>
      </c>
      <c r="H7" s="86">
        <v>1272.0999999999999</v>
      </c>
      <c r="I7" s="9">
        <f>IF(H7&gt;0,ROUND(E8/H7*100,1),0)</f>
        <v>2.6</v>
      </c>
    </row>
    <row r="8" spans="1:11" ht="15.75">
      <c r="A8" s="2"/>
      <c r="B8" s="8" t="s">
        <v>14</v>
      </c>
      <c r="C8" s="2" t="s">
        <v>11</v>
      </c>
      <c r="D8" s="87">
        <v>27</v>
      </c>
      <c r="E8" s="88">
        <v>32.941000000000003</v>
      </c>
      <c r="F8" s="7">
        <f>ROUND(E8/D8*100,1)</f>
        <v>122</v>
      </c>
      <c r="G8" s="7">
        <f>E8-D8</f>
        <v>5.9410000000000025</v>
      </c>
      <c r="H8" s="86">
        <v>27.4</v>
      </c>
      <c r="I8" s="9">
        <f>IF(H8&gt;0,ROUND(E9/H8*100,1),0)</f>
        <v>473.3</v>
      </c>
    </row>
    <row r="9" spans="1:11" ht="15.75">
      <c r="A9" s="2"/>
      <c r="B9" s="8" t="s">
        <v>15</v>
      </c>
      <c r="C9" s="2" t="s">
        <v>11</v>
      </c>
      <c r="D9" s="87">
        <v>190</v>
      </c>
      <c r="E9" s="88">
        <v>129.69300000000001</v>
      </c>
      <c r="F9" s="7">
        <f>ROUND(E9/D9*100,1)</f>
        <v>68.3</v>
      </c>
      <c r="G9" s="7">
        <f>E9-D9</f>
        <v>-60.306999999999988</v>
      </c>
      <c r="H9" s="86">
        <v>109.8</v>
      </c>
      <c r="I9" s="9">
        <f>IF(H9&gt;0,ROUND(E10/H9*100,1),0)</f>
        <v>96.5</v>
      </c>
    </row>
    <row r="10" spans="1:11" ht="15.75">
      <c r="A10" s="2" t="s">
        <v>16</v>
      </c>
      <c r="B10" s="3" t="s">
        <v>17</v>
      </c>
      <c r="C10" s="82" t="s">
        <v>11</v>
      </c>
      <c r="D10" s="6">
        <f>D12+D13</f>
        <v>225</v>
      </c>
      <c r="E10" s="37">
        <f>E12+E13</f>
        <v>105.946</v>
      </c>
      <c r="F10" s="89">
        <f>ROUND(E10/D10*100,1)</f>
        <v>47.1</v>
      </c>
      <c r="G10" s="89">
        <f>E10-D10</f>
        <v>-119.054</v>
      </c>
      <c r="H10" s="6">
        <f>H12+H13</f>
        <v>106.73399999999999</v>
      </c>
      <c r="I10" s="9">
        <f>IF(H10&gt;0,ROUND(E10/H10*100,1),0)</f>
        <v>99.3</v>
      </c>
    </row>
    <row r="11" spans="1:11" ht="17.25" customHeight="1">
      <c r="A11" s="2"/>
      <c r="B11" s="2" t="s">
        <v>12</v>
      </c>
      <c r="C11" s="2"/>
      <c r="D11" s="87"/>
      <c r="E11" s="88"/>
      <c r="F11" s="7"/>
      <c r="G11" s="7"/>
      <c r="H11" s="86"/>
      <c r="I11" s="9">
        <f>IF(H11&gt;0,ROUND(E11/H11*100,1),0)</f>
        <v>0</v>
      </c>
    </row>
    <row r="12" spans="1:11" ht="15.75">
      <c r="A12" s="2"/>
      <c r="B12" s="8" t="s">
        <v>18</v>
      </c>
      <c r="C12" s="2" t="s">
        <v>11</v>
      </c>
      <c r="D12" s="87">
        <v>100</v>
      </c>
      <c r="E12" s="90">
        <v>66.91</v>
      </c>
      <c r="F12" s="7">
        <f>ROUND(E12/D12*100,1)</f>
        <v>66.900000000000006</v>
      </c>
      <c r="G12" s="7">
        <f>E12-D12</f>
        <v>-33.090000000000003</v>
      </c>
      <c r="H12" s="86">
        <v>36.963999999999999</v>
      </c>
      <c r="I12" s="9">
        <f>IF(H12&gt;0,ROUND(E12/H12*100,1),0)</f>
        <v>181</v>
      </c>
    </row>
    <row r="13" spans="1:11" ht="15.75">
      <c r="A13" s="2"/>
      <c r="B13" s="8" t="s">
        <v>19</v>
      </c>
      <c r="C13" s="2" t="s">
        <v>11</v>
      </c>
      <c r="D13" s="87">
        <v>125</v>
      </c>
      <c r="E13" s="90">
        <v>39.036000000000001</v>
      </c>
      <c r="F13" s="7">
        <f>ROUND(E13/D13*100,1)</f>
        <v>31.2</v>
      </c>
      <c r="G13" s="7">
        <f>E13-D13</f>
        <v>-85.963999999999999</v>
      </c>
      <c r="H13" s="86">
        <v>69.77</v>
      </c>
      <c r="I13" s="9">
        <f>IF(H13&gt;0,ROUND(E13/H13*100,1),0)</f>
        <v>55.9</v>
      </c>
    </row>
    <row r="14" spans="1:11" ht="15.75">
      <c r="A14" s="2" t="s">
        <v>20</v>
      </c>
      <c r="B14" s="3" t="s">
        <v>21</v>
      </c>
      <c r="C14" s="4" t="s">
        <v>11</v>
      </c>
      <c r="D14" s="5">
        <f>D16+D17+D18</f>
        <v>2068.1999999999998</v>
      </c>
      <c r="E14" s="5">
        <f>E16+E17+E18</f>
        <v>1582.635</v>
      </c>
      <c r="F14" s="5">
        <f>ROUND(E14/D14*100,1)</f>
        <v>76.5</v>
      </c>
      <c r="G14" s="89">
        <f>E14-D14</f>
        <v>-485.56499999999983</v>
      </c>
      <c r="H14" s="6">
        <f>H16+H17+H18</f>
        <v>1599.933</v>
      </c>
      <c r="I14" s="10">
        <f>IF(H14&gt;0,ROUND(E14/H14*100,1),0)</f>
        <v>98.9</v>
      </c>
      <c r="J14" t="s">
        <v>22</v>
      </c>
    </row>
    <row r="15" spans="1:11" ht="18" customHeight="1">
      <c r="A15" s="2"/>
      <c r="B15" s="2" t="s">
        <v>12</v>
      </c>
      <c r="C15" s="2"/>
      <c r="D15" s="87"/>
      <c r="E15" s="88"/>
      <c r="F15" s="7"/>
      <c r="G15" s="7"/>
      <c r="H15" s="86"/>
      <c r="I15" s="7"/>
    </row>
    <row r="16" spans="1:11" ht="15.75">
      <c r="A16" s="2"/>
      <c r="B16" s="8" t="s">
        <v>13</v>
      </c>
      <c r="C16" s="2" t="s">
        <v>11</v>
      </c>
      <c r="D16" s="87">
        <v>1851.2</v>
      </c>
      <c r="E16" s="88">
        <v>1441.4380000000001</v>
      </c>
      <c r="F16" s="7">
        <f>ROUND(E16/D16*100,1)</f>
        <v>77.900000000000006</v>
      </c>
      <c r="G16" s="7">
        <f>E16-D16</f>
        <v>-409.76199999999994</v>
      </c>
      <c r="H16" s="86">
        <v>1471.3</v>
      </c>
      <c r="I16" s="9">
        <f>IF(H16&gt;0,ROUND(E16/H16*100,1),0)</f>
        <v>98</v>
      </c>
      <c r="J16" t="s">
        <v>22</v>
      </c>
    </row>
    <row r="17" spans="1:12" ht="15.75">
      <c r="A17" s="2"/>
      <c r="B17" s="8" t="s">
        <v>14</v>
      </c>
      <c r="C17" s="2" t="s">
        <v>11</v>
      </c>
      <c r="D17" s="87">
        <v>27</v>
      </c>
      <c r="E17" s="88">
        <v>29.193000000000001</v>
      </c>
      <c r="F17" s="7">
        <f>ROUND(E17/D17*100,1)</f>
        <v>108.1</v>
      </c>
      <c r="G17" s="7">
        <f>E17-D17</f>
        <v>2.1930000000000014</v>
      </c>
      <c r="H17" s="86">
        <v>27.521000000000001</v>
      </c>
      <c r="I17" s="9">
        <f>IF(H17&gt;0,ROUND(E17/H17*100,1),0)</f>
        <v>106.1</v>
      </c>
      <c r="J17" t="s">
        <v>22</v>
      </c>
    </row>
    <row r="18" spans="1:12" ht="15.75">
      <c r="A18" s="2"/>
      <c r="B18" s="8" t="s">
        <v>15</v>
      </c>
      <c r="C18" s="2" t="s">
        <v>11</v>
      </c>
      <c r="D18" s="87">
        <v>190</v>
      </c>
      <c r="E18" s="88">
        <v>112.004</v>
      </c>
      <c r="F18" s="7">
        <f>ROUND(E18/D18*100,1)</f>
        <v>58.9</v>
      </c>
      <c r="G18" s="7">
        <f>E18-D18</f>
        <v>-77.995999999999995</v>
      </c>
      <c r="H18" s="86">
        <v>101.11199999999999</v>
      </c>
      <c r="I18" s="9">
        <f>IF(H18&gt;0,ROUND(E18/H18*100,1),0)</f>
        <v>110.8</v>
      </c>
    </row>
    <row r="19" spans="1:12" ht="18.75">
      <c r="A19" s="2" t="s">
        <v>23</v>
      </c>
      <c r="B19" s="3" t="s">
        <v>24</v>
      </c>
      <c r="C19" s="4" t="s">
        <v>25</v>
      </c>
      <c r="D19" s="5">
        <f>D21+D22+D23+D24</f>
        <v>13600</v>
      </c>
      <c r="E19" s="5">
        <f>E21+E22+E23+E24</f>
        <v>10278.023999999999</v>
      </c>
      <c r="F19" s="89">
        <f>ROUND(E19/D19*100,1)</f>
        <v>75.599999999999994</v>
      </c>
      <c r="G19" s="89">
        <f>E19-D19</f>
        <v>-3321.9760000000006</v>
      </c>
      <c r="H19" s="6">
        <f>H21+H22+H23+H24</f>
        <v>8058.1130000000003</v>
      </c>
      <c r="I19" s="10">
        <f>IF(H19&gt;0,ROUND(E19/H19*100,1),0)</f>
        <v>127.5</v>
      </c>
      <c r="J19" t="s">
        <v>22</v>
      </c>
    </row>
    <row r="20" spans="1:12" ht="15.75">
      <c r="A20" s="2"/>
      <c r="B20" s="3" t="s">
        <v>26</v>
      </c>
      <c r="C20" s="2"/>
      <c r="D20" s="87"/>
      <c r="E20" s="88"/>
      <c r="F20" s="7"/>
      <c r="G20" s="7"/>
      <c r="H20" s="86"/>
      <c r="I20" s="7"/>
      <c r="L20" s="11"/>
    </row>
    <row r="21" spans="1:12" ht="18.75">
      <c r="A21" s="2"/>
      <c r="B21" s="8" t="s">
        <v>27</v>
      </c>
      <c r="C21" s="2" t="s">
        <v>28</v>
      </c>
      <c r="D21" s="87">
        <v>4450</v>
      </c>
      <c r="E21" s="88">
        <v>3707.9639999999999</v>
      </c>
      <c r="F21" s="7">
        <f>ROUND(E21/D21*100,1)</f>
        <v>83.3</v>
      </c>
      <c r="G21" s="7">
        <f t="shared" ref="G21:G31" si="0">E21-D21</f>
        <v>-742.03600000000006</v>
      </c>
      <c r="H21" s="86">
        <v>3333.29</v>
      </c>
      <c r="I21" s="9">
        <f t="shared" ref="I21:I28" si="1">IF(H21&gt;0,ROUND(E21/H21*100,1),0)</f>
        <v>111.2</v>
      </c>
      <c r="J21" t="s">
        <v>22</v>
      </c>
    </row>
    <row r="22" spans="1:12" ht="18.75">
      <c r="A22" s="2"/>
      <c r="B22" s="8" t="s">
        <v>29</v>
      </c>
      <c r="C22" s="2" t="s">
        <v>28</v>
      </c>
      <c r="D22" s="87">
        <v>8570</v>
      </c>
      <c r="E22" s="88">
        <v>6460.6</v>
      </c>
      <c r="F22" s="7">
        <f>ROUND(E22/D22*100,1)</f>
        <v>75.400000000000006</v>
      </c>
      <c r="G22" s="7">
        <f t="shared" si="0"/>
        <v>-2109.3999999999996</v>
      </c>
      <c r="H22" s="86">
        <v>4013.1950000000002</v>
      </c>
      <c r="I22" s="9">
        <f t="shared" si="1"/>
        <v>161</v>
      </c>
      <c r="J22" t="s">
        <v>22</v>
      </c>
    </row>
    <row r="23" spans="1:12" ht="18.75">
      <c r="A23" s="2"/>
      <c r="B23" s="8" t="s">
        <v>30</v>
      </c>
      <c r="C23" s="2" t="s">
        <v>28</v>
      </c>
      <c r="D23" s="87"/>
      <c r="E23" s="88">
        <v>0</v>
      </c>
      <c r="F23" s="7"/>
      <c r="G23" s="7">
        <f t="shared" si="0"/>
        <v>0</v>
      </c>
      <c r="H23" s="86"/>
      <c r="I23" s="9">
        <f t="shared" si="1"/>
        <v>0</v>
      </c>
      <c r="J23" t="s">
        <v>22</v>
      </c>
    </row>
    <row r="24" spans="1:12" ht="18.75">
      <c r="A24" s="2"/>
      <c r="B24" s="8" t="s">
        <v>31</v>
      </c>
      <c r="C24" s="2" t="s">
        <v>28</v>
      </c>
      <c r="D24" s="87">
        <v>580</v>
      </c>
      <c r="E24" s="88">
        <v>109.46</v>
      </c>
      <c r="F24" s="7">
        <f t="shared" ref="F24:F29" si="2">ROUND(E24/D24*100,1)</f>
        <v>18.899999999999999</v>
      </c>
      <c r="G24" s="7">
        <f t="shared" si="0"/>
        <v>-470.54</v>
      </c>
      <c r="H24" s="86">
        <v>711.62800000000004</v>
      </c>
      <c r="I24" s="9">
        <f t="shared" si="1"/>
        <v>15.4</v>
      </c>
      <c r="J24" t="s">
        <v>22</v>
      </c>
    </row>
    <row r="25" spans="1:12" ht="15.75">
      <c r="A25" s="2" t="s">
        <v>32</v>
      </c>
      <c r="B25" s="12" t="s">
        <v>33</v>
      </c>
      <c r="C25" s="13" t="s">
        <v>34</v>
      </c>
      <c r="D25" s="91">
        <v>457</v>
      </c>
      <c r="E25" s="14">
        <v>734</v>
      </c>
      <c r="F25" s="7">
        <f t="shared" si="2"/>
        <v>160.6</v>
      </c>
      <c r="G25" s="9">
        <f t="shared" si="0"/>
        <v>277</v>
      </c>
      <c r="H25" s="86">
        <v>796.5</v>
      </c>
      <c r="I25" s="9">
        <f t="shared" si="1"/>
        <v>92.2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91">
        <v>317779.8</v>
      </c>
      <c r="E26" s="14">
        <v>222754.3</v>
      </c>
      <c r="F26" s="9">
        <f t="shared" si="2"/>
        <v>70.099999999999994</v>
      </c>
      <c r="G26" s="9">
        <f t="shared" si="0"/>
        <v>-95025.5</v>
      </c>
      <c r="H26" s="86">
        <v>219109.7</v>
      </c>
      <c r="I26" s="18">
        <f t="shared" si="1"/>
        <v>101.7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208</v>
      </c>
      <c r="C27" s="17" t="s">
        <v>37</v>
      </c>
      <c r="D27" s="91">
        <v>2402.6</v>
      </c>
      <c r="E27" s="14">
        <v>108</v>
      </c>
      <c r="F27" s="9">
        <f>ROUND(E27/D27*100,1)</f>
        <v>4.5</v>
      </c>
      <c r="G27" s="9">
        <f t="shared" si="0"/>
        <v>-2294.6</v>
      </c>
      <c r="H27" s="86">
        <v>178.47200000000001</v>
      </c>
      <c r="I27" s="18">
        <f t="shared" si="1"/>
        <v>60.5</v>
      </c>
      <c r="J27" t="s">
        <v>22</v>
      </c>
      <c r="K27"/>
    </row>
    <row r="28" spans="1:12" ht="31.5">
      <c r="A28" s="2" t="s">
        <v>39</v>
      </c>
      <c r="B28" s="137" t="s">
        <v>40</v>
      </c>
      <c r="C28" s="17" t="s">
        <v>37</v>
      </c>
      <c r="D28" s="91">
        <v>37739.5</v>
      </c>
      <c r="E28" s="14">
        <v>17.5</v>
      </c>
      <c r="F28" s="151">
        <f t="shared" si="2"/>
        <v>0</v>
      </c>
      <c r="G28" s="9">
        <f t="shared" si="0"/>
        <v>-37722</v>
      </c>
      <c r="H28" s="86">
        <v>1.1000000000000001</v>
      </c>
      <c r="I28" s="92">
        <f t="shared" si="1"/>
        <v>1590.9</v>
      </c>
      <c r="J28" t="s">
        <v>22</v>
      </c>
    </row>
    <row r="29" spans="1:12" ht="19.5" customHeight="1">
      <c r="A29" s="13" t="s">
        <v>41</v>
      </c>
      <c r="B29" s="21" t="s">
        <v>42</v>
      </c>
      <c r="C29" s="17" t="s">
        <v>37</v>
      </c>
      <c r="D29" s="91">
        <v>2976.9</v>
      </c>
      <c r="E29" s="14">
        <v>2978.6</v>
      </c>
      <c r="F29" s="9">
        <f t="shared" si="2"/>
        <v>100.1</v>
      </c>
      <c r="G29" s="9">
        <f t="shared" si="0"/>
        <v>1.6999999999998181</v>
      </c>
      <c r="H29" s="86">
        <v>2582.9</v>
      </c>
      <c r="I29" s="9">
        <f>IF(H29&gt;0,ROUND(E29/H29*100,1),0)</f>
        <v>115.3</v>
      </c>
      <c r="J29" t="s">
        <v>22</v>
      </c>
    </row>
    <row r="30" spans="1:12" ht="21.75" customHeight="1">
      <c r="A30" s="291" t="s">
        <v>43</v>
      </c>
      <c r="B30" s="292"/>
      <c r="C30" s="292"/>
      <c r="D30" s="292"/>
      <c r="E30" s="292"/>
      <c r="F30" s="292"/>
      <c r="G30" s="292"/>
      <c r="H30" s="292"/>
      <c r="I30" s="292"/>
    </row>
    <row r="31" spans="1:12" ht="24" hidden="1" customHeight="1" outlineLevel="1">
      <c r="A31" s="13" t="s">
        <v>44</v>
      </c>
      <c r="B31" s="93" t="s">
        <v>209</v>
      </c>
      <c r="C31" s="17" t="s">
        <v>37</v>
      </c>
      <c r="D31" s="22"/>
      <c r="E31" s="14"/>
      <c r="F31" s="23"/>
      <c r="G31" s="18">
        <f t="shared" si="0"/>
        <v>0</v>
      </c>
      <c r="H31" s="14">
        <f>0.495*1000</f>
        <v>495</v>
      </c>
      <c r="I31" s="18">
        <f>IF(H31&gt;0,ROUND(E31/H31*100,1),0)</f>
        <v>0</v>
      </c>
      <c r="J31" s="24" t="s">
        <v>46</v>
      </c>
    </row>
    <row r="32" spans="1:12" ht="15.75" hidden="1" outlineLevel="1">
      <c r="A32" s="2" t="s">
        <v>47</v>
      </c>
      <c r="B32" s="12" t="s">
        <v>48</v>
      </c>
      <c r="C32" s="17" t="s">
        <v>37</v>
      </c>
      <c r="D32" s="22"/>
      <c r="E32" s="94"/>
      <c r="F32" s="23"/>
      <c r="G32" s="25"/>
      <c r="H32" s="18"/>
      <c r="I32" s="18">
        <f>IF(H32&gt;0,ROUND(E32/H32*100,1),0)</f>
        <v>0</v>
      </c>
    </row>
    <row r="33" spans="1:11" ht="15.75" collapsed="1">
      <c r="A33" s="2" t="s">
        <v>49</v>
      </c>
      <c r="B33" s="3" t="s">
        <v>50</v>
      </c>
      <c r="C33" s="17" t="s">
        <v>37</v>
      </c>
      <c r="D33" s="26">
        <f>D35+D39+D40+D41+D42+D43+D45+D44</f>
        <v>59504.394748895647</v>
      </c>
      <c r="E33" s="26">
        <f>E35+E39+E40+E41+E42+E43+E45+E44</f>
        <v>1426106.111</v>
      </c>
      <c r="F33" s="26">
        <f>ROUND(E33/D33*100,1)</f>
        <v>2396.6</v>
      </c>
      <c r="G33" s="26">
        <f t="shared" ref="G33:G44" si="3">E33-D33</f>
        <v>1366601.7162511044</v>
      </c>
      <c r="H33" s="26">
        <f>H35+H39+H40+H41+H42+H43+H45+H44</f>
        <v>114843.40700000001</v>
      </c>
      <c r="I33" s="26">
        <f>IF(H33&gt;0,ROUND(E33/H33*100,1),0)</f>
        <v>1241.8</v>
      </c>
      <c r="J33" t="s">
        <v>51</v>
      </c>
    </row>
    <row r="34" spans="1:11" ht="15.75">
      <c r="A34" s="2"/>
      <c r="B34" s="12" t="s">
        <v>52</v>
      </c>
      <c r="C34" s="17" t="s">
        <v>37</v>
      </c>
      <c r="D34" s="95"/>
      <c r="E34" s="96"/>
      <c r="F34" s="27"/>
      <c r="G34" s="27">
        <f t="shared" si="3"/>
        <v>0</v>
      </c>
      <c r="H34" s="28"/>
      <c r="I34" s="28"/>
    </row>
    <row r="35" spans="1:11" ht="15.75">
      <c r="A35" s="2"/>
      <c r="B35" s="8" t="s">
        <v>53</v>
      </c>
      <c r="C35" s="17" t="s">
        <v>37</v>
      </c>
      <c r="D35" s="27">
        <f>D37+D38</f>
        <v>28.654748895652244</v>
      </c>
      <c r="E35" s="28">
        <f>E37+E38</f>
        <v>-116797</v>
      </c>
      <c r="F35" s="28">
        <f>ROUND(E35/D35*100,1)</f>
        <v>-407600.8</v>
      </c>
      <c r="G35" s="27">
        <f t="shared" si="3"/>
        <v>-116825.65474889566</v>
      </c>
      <c r="H35" s="86">
        <f>H37+H38</f>
        <v>2654.7470000000003</v>
      </c>
      <c r="I35" s="28">
        <f>IF(H35&gt;0,ROUND(E35/H35*100,1),0)</f>
        <v>-4399.6000000000004</v>
      </c>
      <c r="J35" t="s">
        <v>51</v>
      </c>
    </row>
    <row r="36" spans="1:11" ht="15.75">
      <c r="A36" s="2"/>
      <c r="B36" s="29" t="s">
        <v>54</v>
      </c>
      <c r="C36" s="17" t="s">
        <v>37</v>
      </c>
      <c r="D36" s="95"/>
      <c r="E36" s="97"/>
      <c r="F36" s="28"/>
      <c r="G36" s="27"/>
      <c r="H36" s="86"/>
      <c r="I36" s="28"/>
    </row>
    <row r="37" spans="1:11" ht="15.75">
      <c r="A37" s="2"/>
      <c r="B37" s="30" t="s">
        <v>55</v>
      </c>
      <c r="C37" s="17" t="s">
        <v>37</v>
      </c>
      <c r="D37" s="95"/>
      <c r="E37" s="97">
        <v>-116797</v>
      </c>
      <c r="F37" s="28"/>
      <c r="G37" s="27"/>
      <c r="H37" s="86"/>
      <c r="I37" s="28"/>
    </row>
    <row r="38" spans="1:11" ht="15.75">
      <c r="A38" s="2"/>
      <c r="B38" s="30" t="s">
        <v>56</v>
      </c>
      <c r="C38" s="17" t="s">
        <v>37</v>
      </c>
      <c r="D38" s="95">
        <f>D96</f>
        <v>28.654748895652244</v>
      </c>
      <c r="E38" s="97"/>
      <c r="F38" s="28">
        <f>ROUND(E38/D38*100,1)</f>
        <v>0</v>
      </c>
      <c r="G38" s="27">
        <f t="shared" si="3"/>
        <v>-28.654748895652244</v>
      </c>
      <c r="H38" s="86">
        <f>H96</f>
        <v>2654.7470000000003</v>
      </c>
      <c r="I38" s="28"/>
    </row>
    <row r="39" spans="1:11" ht="15.75">
      <c r="A39" s="2"/>
      <c r="B39" s="8" t="s">
        <v>57</v>
      </c>
      <c r="C39" s="17" t="s">
        <v>37</v>
      </c>
      <c r="D39" s="95">
        <f>D130</f>
        <v>59475.74</v>
      </c>
      <c r="E39" s="97">
        <f>E130</f>
        <v>73320.111000000004</v>
      </c>
      <c r="F39" s="28">
        <f>ROUND(E39/D39*100,1)</f>
        <v>123.3</v>
      </c>
      <c r="G39" s="27">
        <f t="shared" si="3"/>
        <v>13844.371000000006</v>
      </c>
      <c r="H39" s="86">
        <v>57970.9</v>
      </c>
      <c r="I39" s="28">
        <f>IF(H39&gt;0,ROUND(E39/H39*100,1),0)</f>
        <v>126.5</v>
      </c>
      <c r="J39" t="s">
        <v>58</v>
      </c>
      <c r="K39" s="95">
        <v>34799.205999999998</v>
      </c>
    </row>
    <row r="40" spans="1:11" ht="15.75">
      <c r="A40" s="2"/>
      <c r="B40" s="98" t="s">
        <v>59</v>
      </c>
      <c r="C40" s="17" t="s">
        <v>37</v>
      </c>
      <c r="D40" s="99"/>
      <c r="E40" s="97"/>
      <c r="F40" s="27"/>
      <c r="G40" s="27">
        <f t="shared" si="3"/>
        <v>0</v>
      </c>
      <c r="H40" s="28"/>
      <c r="I40" s="28"/>
    </row>
    <row r="41" spans="1:11" ht="33.75" customHeight="1">
      <c r="A41" s="100"/>
      <c r="B41" s="98" t="s">
        <v>60</v>
      </c>
      <c r="C41" s="17" t="s">
        <v>37</v>
      </c>
      <c r="D41" s="95"/>
      <c r="E41" s="97">
        <v>0</v>
      </c>
      <c r="F41" s="27"/>
      <c r="G41" s="27">
        <f t="shared" si="3"/>
        <v>0</v>
      </c>
      <c r="H41" s="28">
        <v>0</v>
      </c>
      <c r="I41" s="28">
        <f>IF(H41&gt;0,ROUND(E41/H41*100,1),0)</f>
        <v>0</v>
      </c>
      <c r="J41" t="s">
        <v>51</v>
      </c>
    </row>
    <row r="42" spans="1:11" ht="15.75">
      <c r="A42" s="2"/>
      <c r="B42" s="8" t="s">
        <v>61</v>
      </c>
      <c r="C42" s="17" t="s">
        <v>37</v>
      </c>
      <c r="D42" s="91"/>
      <c r="E42" s="14"/>
      <c r="F42" s="23"/>
      <c r="G42" s="27">
        <f t="shared" si="3"/>
        <v>0</v>
      </c>
      <c r="H42" s="18"/>
      <c r="I42" s="18"/>
    </row>
    <row r="43" spans="1:11" ht="15.75">
      <c r="A43" s="2"/>
      <c r="B43" s="98" t="s">
        <v>62</v>
      </c>
      <c r="C43" s="17" t="s">
        <v>37</v>
      </c>
      <c r="D43" s="91"/>
      <c r="E43" s="14">
        <v>810605</v>
      </c>
      <c r="F43" s="18"/>
      <c r="G43" s="27">
        <f t="shared" si="3"/>
        <v>810605</v>
      </c>
      <c r="H43" s="18"/>
      <c r="I43" s="18"/>
    </row>
    <row r="44" spans="1:11" ht="15.75">
      <c r="A44" s="2"/>
      <c r="B44" s="98" t="s">
        <v>63</v>
      </c>
      <c r="C44" s="17" t="s">
        <v>37</v>
      </c>
      <c r="D44" s="91"/>
      <c r="E44" s="101">
        <v>569599</v>
      </c>
      <c r="F44" s="18"/>
      <c r="G44" s="27">
        <f t="shared" si="3"/>
        <v>569599</v>
      </c>
      <c r="H44" s="86">
        <v>54217.760000000002</v>
      </c>
      <c r="I44" s="18"/>
    </row>
    <row r="45" spans="1:11" ht="15.75" customHeight="1">
      <c r="A45" s="2"/>
      <c r="B45" s="8" t="s">
        <v>64</v>
      </c>
      <c r="C45" s="17" t="s">
        <v>37</v>
      </c>
      <c r="D45" s="91"/>
      <c r="E45" s="14">
        <v>89379</v>
      </c>
      <c r="F45" s="18"/>
      <c r="G45" s="18"/>
      <c r="H45" s="18"/>
      <c r="I45" s="18"/>
    </row>
    <row r="46" spans="1:11" ht="47.25" hidden="1" outlineLevel="1">
      <c r="A46" s="2"/>
      <c r="B46" s="12" t="s">
        <v>65</v>
      </c>
      <c r="C46" s="13" t="s">
        <v>37</v>
      </c>
      <c r="D46" s="102"/>
      <c r="E46" s="102"/>
      <c r="F46" s="102"/>
      <c r="G46" s="102">
        <f>E46-D46</f>
        <v>0</v>
      </c>
      <c r="H46" s="102"/>
      <c r="I46" s="102">
        <f>IF(H46&gt;0,ROUND(E46/H46*100,1),0)</f>
        <v>0</v>
      </c>
    </row>
    <row r="47" spans="1:11" ht="15.75" collapsed="1">
      <c r="A47" s="297" t="s">
        <v>66</v>
      </c>
      <c r="B47" s="297"/>
      <c r="C47" s="297"/>
      <c r="D47" s="297"/>
      <c r="E47" s="297"/>
      <c r="F47" s="297"/>
      <c r="G47" s="297"/>
      <c r="H47" s="297"/>
      <c r="I47" s="297"/>
    </row>
    <row r="48" spans="1:11" ht="15.75">
      <c r="A48" s="2" t="s">
        <v>67</v>
      </c>
      <c r="B48" s="3" t="s">
        <v>68</v>
      </c>
      <c r="C48" s="2"/>
      <c r="D48" s="87"/>
      <c r="E48" s="88"/>
      <c r="F48" s="7"/>
      <c r="G48" s="7"/>
      <c r="H48" s="7"/>
      <c r="I48" s="7"/>
    </row>
    <row r="49" spans="1:10" ht="15.75" hidden="1" outlineLevel="1">
      <c r="A49" s="2"/>
      <c r="B49" s="12" t="s">
        <v>69</v>
      </c>
      <c r="C49" s="13" t="s">
        <v>70</v>
      </c>
      <c r="D49" s="103" t="e">
        <f>D51+D52</f>
        <v>#VALUE!</v>
      </c>
      <c r="E49" s="104" t="e">
        <f>E51+E52</f>
        <v>#VALUE!</v>
      </c>
      <c r="F49" s="102" t="e">
        <f>IF(E49&gt;0,ROUND(E49/D49*100,1),0)</f>
        <v>#VALUE!</v>
      </c>
      <c r="G49" s="102" t="e">
        <f>E49-D49</f>
        <v>#VALUE!</v>
      </c>
      <c r="H49" s="105" t="e">
        <f>H51+H52</f>
        <v>#VALUE!</v>
      </c>
      <c r="I49" s="102" t="e">
        <f>IF(H49&gt;0,ROUND(E49/H49*100,1),0)</f>
        <v>#VALUE!</v>
      </c>
    </row>
    <row r="50" spans="1:10" ht="15.75" hidden="1" outlineLevel="1">
      <c r="A50" s="2"/>
      <c r="B50" s="2" t="s">
        <v>12</v>
      </c>
      <c r="C50" s="13"/>
      <c r="D50" s="103"/>
      <c r="E50" s="104"/>
      <c r="F50" s="105"/>
      <c r="G50" s="105"/>
      <c r="H50" s="105"/>
      <c r="I50" s="105"/>
    </row>
    <row r="51" spans="1:10" ht="15.75" collapsed="1">
      <c r="A51" s="2"/>
      <c r="B51" s="8" t="s">
        <v>71</v>
      </c>
      <c r="C51" s="13" t="s">
        <v>72</v>
      </c>
      <c r="D51" s="91" t="s">
        <v>73</v>
      </c>
      <c r="E51" s="14" t="s">
        <v>73</v>
      </c>
      <c r="F51" s="9" t="s">
        <v>73</v>
      </c>
      <c r="G51" s="9" t="s">
        <v>73</v>
      </c>
      <c r="H51" s="106" t="s">
        <v>73</v>
      </c>
      <c r="I51" s="9" t="s">
        <v>73</v>
      </c>
    </row>
    <row r="52" spans="1:10" ht="15.75" hidden="1" outlineLevel="1">
      <c r="A52" s="2"/>
      <c r="B52" s="12" t="s">
        <v>74</v>
      </c>
      <c r="C52" s="13" t="s">
        <v>70</v>
      </c>
      <c r="D52" s="103"/>
      <c r="E52" s="104"/>
      <c r="F52" s="102"/>
      <c r="G52" s="102"/>
      <c r="H52" s="105"/>
      <c r="I52" s="102">
        <f>IF(H52&gt;0,ROUND(E52/H52*100,1),0)</f>
        <v>0</v>
      </c>
    </row>
    <row r="53" spans="1:10" ht="15.75" hidden="1" outlineLevel="1">
      <c r="A53" s="2"/>
      <c r="B53" s="12" t="s">
        <v>75</v>
      </c>
      <c r="C53" s="13" t="s">
        <v>70</v>
      </c>
      <c r="D53" s="22"/>
      <c r="E53" s="94"/>
      <c r="F53" s="102"/>
      <c r="G53" s="102"/>
      <c r="H53" s="102"/>
      <c r="I53" s="102">
        <f>IF(H53&gt;0,ROUND(E53/H53*100,1),0)</f>
        <v>0</v>
      </c>
    </row>
    <row r="54" spans="1:10" ht="15.75" collapsed="1">
      <c r="A54" s="2" t="s">
        <v>76</v>
      </c>
      <c r="B54" s="3" t="s">
        <v>77</v>
      </c>
      <c r="C54" s="13"/>
      <c r="D54" s="103"/>
      <c r="E54" s="104"/>
      <c r="F54" s="105"/>
      <c r="G54" s="105"/>
      <c r="H54" s="105"/>
      <c r="I54" s="105"/>
    </row>
    <row r="55" spans="1:10" ht="15.75">
      <c r="A55" s="2"/>
      <c r="B55" s="8" t="s">
        <v>78</v>
      </c>
      <c r="C55" s="13" t="s">
        <v>79</v>
      </c>
      <c r="D55" s="91" t="s">
        <v>73</v>
      </c>
      <c r="E55" s="14" t="s">
        <v>73</v>
      </c>
      <c r="F55" s="9" t="s">
        <v>73</v>
      </c>
      <c r="G55" s="9" t="s">
        <v>73</v>
      </c>
      <c r="H55" s="9" t="s">
        <v>73</v>
      </c>
      <c r="I55" s="9" t="s">
        <v>73</v>
      </c>
    </row>
    <row r="56" spans="1:10" ht="15.75" hidden="1" outlineLevel="1">
      <c r="A56" s="2"/>
      <c r="B56" s="12" t="s">
        <v>80</v>
      </c>
      <c r="C56" s="13" t="s">
        <v>81</v>
      </c>
      <c r="D56" s="107"/>
      <c r="E56" s="105"/>
      <c r="F56" s="105"/>
      <c r="G56" s="105"/>
      <c r="H56" s="105"/>
      <c r="I56" s="105"/>
    </row>
    <row r="57" spans="1:10" ht="24.75" hidden="1" customHeight="1" outlineLevel="1">
      <c r="A57" s="2"/>
      <c r="B57" s="12" t="s">
        <v>82</v>
      </c>
      <c r="C57" s="13" t="s">
        <v>81</v>
      </c>
      <c r="D57" s="108">
        <v>0</v>
      </c>
      <c r="E57" s="108"/>
      <c r="F57" s="108"/>
      <c r="G57" s="108"/>
      <c r="H57" s="108"/>
      <c r="I57" s="108"/>
    </row>
    <row r="58" spans="1:10" ht="15.75" collapsed="1">
      <c r="A58" s="298" t="s">
        <v>83</v>
      </c>
      <c r="B58" s="298"/>
      <c r="C58" s="298"/>
      <c r="D58" s="298"/>
      <c r="E58" s="298"/>
      <c r="F58" s="298"/>
      <c r="G58" s="298"/>
      <c r="H58" s="298"/>
      <c r="I58" s="298"/>
    </row>
    <row r="59" spans="1:10" ht="15.75">
      <c r="A59" s="2" t="s">
        <v>84</v>
      </c>
      <c r="B59" s="12" t="s">
        <v>85</v>
      </c>
      <c r="C59" s="13" t="s">
        <v>86</v>
      </c>
      <c r="D59" s="109">
        <v>6259</v>
      </c>
      <c r="E59" s="110">
        <v>5768</v>
      </c>
      <c r="F59" s="28">
        <f>ROUND(E59/D59*100,1)</f>
        <v>92.2</v>
      </c>
      <c r="G59" s="28">
        <f>E59-D59</f>
        <v>-491</v>
      </c>
      <c r="H59" s="86">
        <v>5864</v>
      </c>
      <c r="I59" s="28">
        <f t="shared" ref="I59:I64" si="4">IF(H59&gt;0,ROUND(E59/H59*100,1),0)</f>
        <v>98.4</v>
      </c>
      <c r="J59" t="s">
        <v>87</v>
      </c>
    </row>
    <row r="60" spans="1:10" ht="31.5" hidden="1" outlineLevel="1">
      <c r="A60" s="2" t="s">
        <v>88</v>
      </c>
      <c r="B60" s="12" t="s">
        <v>89</v>
      </c>
      <c r="C60" s="13" t="s">
        <v>90</v>
      </c>
      <c r="D60" s="99"/>
      <c r="E60" s="97"/>
      <c r="F60" s="28" t="e">
        <f>ROUND(E60/D60*100,1)</f>
        <v>#DIV/0!</v>
      </c>
      <c r="G60" s="28"/>
      <c r="H60" s="86"/>
      <c r="I60" s="28">
        <f t="shared" si="4"/>
        <v>0</v>
      </c>
    </row>
    <row r="61" spans="1:10" ht="15.75" collapsed="1">
      <c r="A61" s="2" t="s">
        <v>91</v>
      </c>
      <c r="B61" s="12" t="s">
        <v>92</v>
      </c>
      <c r="C61" s="17" t="s">
        <v>37</v>
      </c>
      <c r="D61" s="111">
        <v>122510.39999999999</v>
      </c>
      <c r="E61" s="112">
        <v>92642.6</v>
      </c>
      <c r="F61" s="28">
        <f>ROUND(E61/D61*100,1)</f>
        <v>75.599999999999994</v>
      </c>
      <c r="G61" s="28">
        <f>E61-D61</f>
        <v>-29867.799999999988</v>
      </c>
      <c r="H61" s="86">
        <v>72946.3</v>
      </c>
      <c r="I61" s="28">
        <f t="shared" si="4"/>
        <v>127</v>
      </c>
      <c r="J61" t="s">
        <v>87</v>
      </c>
    </row>
    <row r="62" spans="1:10" ht="15.75">
      <c r="A62" s="2" t="s">
        <v>93</v>
      </c>
      <c r="B62" s="12" t="s">
        <v>94</v>
      </c>
      <c r="C62" s="13" t="s">
        <v>95</v>
      </c>
      <c r="D62" s="99">
        <v>3262.3</v>
      </c>
      <c r="E62" s="97">
        <v>2675.5</v>
      </c>
      <c r="F62" s="28">
        <f>ROUND(E62/D62*100,1)</f>
        <v>82</v>
      </c>
      <c r="G62" s="28">
        <f>E62-D62</f>
        <v>-586.80000000000018</v>
      </c>
      <c r="H62" s="86">
        <v>2067.4</v>
      </c>
      <c r="I62" s="28">
        <f t="shared" si="4"/>
        <v>129.4</v>
      </c>
      <c r="J62" t="s">
        <v>87</v>
      </c>
    </row>
    <row r="63" spans="1:10" ht="15.75">
      <c r="A63" s="2" t="s">
        <v>96</v>
      </c>
      <c r="B63" s="12" t="s">
        <v>97</v>
      </c>
      <c r="C63" s="17" t="s">
        <v>37</v>
      </c>
      <c r="D63" s="91"/>
      <c r="E63" s="14">
        <v>1223528</v>
      </c>
      <c r="F63" s="28"/>
      <c r="G63" s="9"/>
      <c r="H63" s="86">
        <v>1039625</v>
      </c>
      <c r="I63" s="9">
        <f t="shared" si="4"/>
        <v>117.7</v>
      </c>
      <c r="J63" t="s">
        <v>58</v>
      </c>
    </row>
    <row r="64" spans="1:10" ht="15.75" hidden="1" outlineLevel="1">
      <c r="A64" s="2" t="s">
        <v>98</v>
      </c>
      <c r="B64" s="12" t="s">
        <v>99</v>
      </c>
      <c r="C64" s="13" t="s">
        <v>37</v>
      </c>
      <c r="D64" s="113"/>
      <c r="E64" s="114"/>
      <c r="F64" s="115"/>
      <c r="G64" s="113"/>
      <c r="H64" s="86"/>
      <c r="I64" s="115">
        <f t="shared" si="4"/>
        <v>0</v>
      </c>
      <c r="J64" s="31"/>
    </row>
    <row r="65" spans="1:13" ht="15.75" collapsed="1">
      <c r="A65" s="2" t="s">
        <v>100</v>
      </c>
      <c r="B65" s="12" t="s">
        <v>101</v>
      </c>
      <c r="C65" s="13" t="s">
        <v>102</v>
      </c>
      <c r="D65" s="116">
        <v>142874.46</v>
      </c>
      <c r="E65" s="117">
        <v>187485.53338051724</v>
      </c>
      <c r="F65" s="28">
        <f>ROUND(E65/D65*100,1)</f>
        <v>131.19999999999999</v>
      </c>
      <c r="G65" s="28">
        <f>E65-D65</f>
        <v>44611.073380517249</v>
      </c>
      <c r="H65" s="86">
        <v>151573.54999999999</v>
      </c>
      <c r="I65" s="28">
        <f>ROUND(E65/H65*100,1)</f>
        <v>123.7</v>
      </c>
      <c r="J65" t="s">
        <v>103</v>
      </c>
    </row>
    <row r="66" spans="1:13" ht="15.75" hidden="1" outlineLevel="1">
      <c r="A66" s="2"/>
      <c r="B66" s="2" t="s">
        <v>12</v>
      </c>
      <c r="C66" s="13"/>
      <c r="D66" s="105"/>
      <c r="E66" s="105"/>
      <c r="F66" s="105"/>
      <c r="G66" s="105"/>
      <c r="H66" s="105"/>
      <c r="I66" s="105"/>
    </row>
    <row r="67" spans="1:13" ht="15.75" hidden="1" outlineLevel="1">
      <c r="A67" s="2"/>
      <c r="B67" s="12" t="s">
        <v>104</v>
      </c>
      <c r="C67" s="13" t="s">
        <v>102</v>
      </c>
      <c r="D67" s="105"/>
      <c r="E67" s="105"/>
      <c r="F67" s="105" t="e">
        <f>ROUND(E67/D67*100,1)</f>
        <v>#DIV/0!</v>
      </c>
      <c r="G67" s="105">
        <f>E67-D67</f>
        <v>0</v>
      </c>
      <c r="H67" s="105"/>
      <c r="I67" s="105" t="e">
        <f>ROUND(E67/H67*100,1)</f>
        <v>#DIV/0!</v>
      </c>
    </row>
    <row r="68" spans="1:13" ht="15.75" hidden="1" outlineLevel="1">
      <c r="A68" s="2"/>
      <c r="B68" s="12" t="s">
        <v>105</v>
      </c>
      <c r="C68" s="13" t="s">
        <v>102</v>
      </c>
      <c r="D68" s="105"/>
      <c r="E68" s="105"/>
      <c r="F68" s="105" t="e">
        <f>ROUND(E68/D68*100,1)</f>
        <v>#DIV/0!</v>
      </c>
      <c r="G68" s="105">
        <f>E68-D68</f>
        <v>0</v>
      </c>
      <c r="H68" s="105"/>
      <c r="I68" s="105" t="e">
        <f>ROUND(E68/H68*100,1)</f>
        <v>#DIV/0!</v>
      </c>
    </row>
    <row r="69" spans="1:13" s="32" customFormat="1" ht="15.75" collapsed="1">
      <c r="A69" s="298" t="s">
        <v>106</v>
      </c>
      <c r="B69" s="298"/>
      <c r="C69" s="298"/>
      <c r="D69" s="298"/>
      <c r="E69" s="298"/>
      <c r="F69" s="298"/>
      <c r="G69" s="298"/>
      <c r="H69" s="298"/>
      <c r="I69" s="298"/>
    </row>
    <row r="70" spans="1:13" ht="15.75">
      <c r="A70" s="2" t="s">
        <v>107</v>
      </c>
      <c r="B70" s="12" t="s">
        <v>108</v>
      </c>
      <c r="C70" s="17" t="s">
        <v>37</v>
      </c>
      <c r="D70" s="99">
        <f>'[1]1полугодие'!$D$104/1000</f>
        <v>391713.071</v>
      </c>
      <c r="E70" s="14">
        <f>'[1]1полугодие'!$E$104/1000</f>
        <v>224339.326</v>
      </c>
      <c r="F70" s="9">
        <f t="shared" ref="F70:F95" si="5">ROUND(E70/D70*100,1)</f>
        <v>57.3</v>
      </c>
      <c r="G70" s="9">
        <f t="shared" ref="G70:G96" si="6">E70-D70</f>
        <v>-167373.745</v>
      </c>
      <c r="H70" s="86">
        <v>165089</v>
      </c>
      <c r="I70" s="9">
        <f t="shared" ref="I70:I85" si="7">ROUND(E70/H70*100,1)</f>
        <v>135.9</v>
      </c>
      <c r="J70" t="s">
        <v>103</v>
      </c>
      <c r="M70">
        <f>1759313-152984-76292-1017231</f>
        <v>512806</v>
      </c>
    </row>
    <row r="71" spans="1:13" ht="15.75">
      <c r="A71" s="2" t="s">
        <v>109</v>
      </c>
      <c r="B71" s="12" t="s">
        <v>110</v>
      </c>
      <c r="C71" s="17" t="s">
        <v>37</v>
      </c>
      <c r="D71" s="99">
        <f>'[1]1полугодие'!$D$105/1000</f>
        <v>285498.08784365217</v>
      </c>
      <c r="E71" s="14">
        <f>'[1]1полугодие'!$E$105/1000</f>
        <v>167140.25399999999</v>
      </c>
      <c r="F71" s="9">
        <f t="shared" si="5"/>
        <v>58.5</v>
      </c>
      <c r="G71" s="9">
        <f t="shared" si="6"/>
        <v>-118357.83384365219</v>
      </c>
      <c r="H71" s="86">
        <v>160087</v>
      </c>
      <c r="I71" s="9">
        <f t="shared" si="7"/>
        <v>104.4</v>
      </c>
      <c r="J71" t="s">
        <v>103</v>
      </c>
    </row>
    <row r="72" spans="1:13" ht="15.75">
      <c r="A72" s="2" t="s">
        <v>111</v>
      </c>
      <c r="B72" s="12" t="s">
        <v>112</v>
      </c>
      <c r="C72" s="17" t="s">
        <v>37</v>
      </c>
      <c r="D72" s="33">
        <f>D70-D71</f>
        <v>106214.98315634782</v>
      </c>
      <c r="E72" s="34">
        <f>E70-E71</f>
        <v>57199.072000000015</v>
      </c>
      <c r="F72" s="7">
        <f t="shared" si="5"/>
        <v>53.9</v>
      </c>
      <c r="G72" s="9">
        <f t="shared" si="6"/>
        <v>-49015.911156347807</v>
      </c>
      <c r="H72" s="18">
        <f>H70-H71</f>
        <v>5002</v>
      </c>
      <c r="I72" s="7">
        <f t="shared" si="7"/>
        <v>1143.5</v>
      </c>
      <c r="J72" t="s">
        <v>103</v>
      </c>
      <c r="M72" s="11">
        <f>D72-D73</f>
        <v>46618.088116347826</v>
      </c>
    </row>
    <row r="73" spans="1:13" ht="15.75">
      <c r="A73" s="2"/>
      <c r="B73" s="3" t="s">
        <v>113</v>
      </c>
      <c r="C73" s="17" t="s">
        <v>37</v>
      </c>
      <c r="D73" s="26">
        <f>D74+D75+D76</f>
        <v>59596.895039999996</v>
      </c>
      <c r="E73" s="6">
        <f>E74+E75+E76</f>
        <v>63781.318999999996</v>
      </c>
      <c r="F73" s="10">
        <f t="shared" si="5"/>
        <v>107</v>
      </c>
      <c r="G73" s="10">
        <f t="shared" si="6"/>
        <v>4184.4239600000001</v>
      </c>
      <c r="H73" s="118">
        <f>H74+H75+H76</f>
        <v>54579.354999999996</v>
      </c>
      <c r="I73" s="10">
        <f t="shared" si="7"/>
        <v>116.9</v>
      </c>
      <c r="J73" t="s">
        <v>103</v>
      </c>
      <c r="M73" s="11">
        <f>M72+D77</f>
        <v>48433.711116347826</v>
      </c>
    </row>
    <row r="74" spans="1:13" ht="15.75">
      <c r="A74" s="2"/>
      <c r="B74" s="119" t="s">
        <v>114</v>
      </c>
      <c r="C74" s="17" t="s">
        <v>37</v>
      </c>
      <c r="D74" s="99">
        <f>'[1]1полугодие'!$D$110/1000</f>
        <v>2376.4760000000001</v>
      </c>
      <c r="E74" s="88">
        <f>'[1]1полугодие'!$E$110/1000</f>
        <v>4319.3050000000003</v>
      </c>
      <c r="F74" s="7">
        <f t="shared" si="5"/>
        <v>181.8</v>
      </c>
      <c r="G74" s="9">
        <f t="shared" si="6"/>
        <v>1942.8290000000002</v>
      </c>
      <c r="H74" s="86">
        <v>3123.1</v>
      </c>
      <c r="I74" s="7">
        <f t="shared" si="7"/>
        <v>138.30000000000001</v>
      </c>
      <c r="J74" t="s">
        <v>103</v>
      </c>
    </row>
    <row r="75" spans="1:13" ht="15.75">
      <c r="A75" s="2"/>
      <c r="B75" s="119" t="s">
        <v>115</v>
      </c>
      <c r="C75" s="17" t="s">
        <v>37</v>
      </c>
      <c r="D75" s="99">
        <f>'[1]1полугодие'!$D$126/1000</f>
        <v>24601.157039999998</v>
      </c>
      <c r="E75" s="88">
        <f>'[1]1полугодие'!$E$126/1000</f>
        <v>19927.366999999998</v>
      </c>
      <c r="F75" s="9">
        <f t="shared" si="5"/>
        <v>81</v>
      </c>
      <c r="G75" s="9">
        <f t="shared" si="6"/>
        <v>-4673.7900399999999</v>
      </c>
      <c r="H75" s="86">
        <v>12977.5</v>
      </c>
      <c r="I75" s="9">
        <f t="shared" si="7"/>
        <v>153.6</v>
      </c>
      <c r="J75" t="s">
        <v>103</v>
      </c>
    </row>
    <row r="76" spans="1:13" ht="15.75">
      <c r="A76" s="2"/>
      <c r="B76" s="119" t="s">
        <v>116</v>
      </c>
      <c r="C76" s="17" t="s">
        <v>37</v>
      </c>
      <c r="D76" s="99">
        <f>'[1]1полугодие'!$D$197/1000</f>
        <v>32619.261999999999</v>
      </c>
      <c r="E76" s="88">
        <f>'[1]1полугодие'!$E$197/1000</f>
        <v>39534.646999999997</v>
      </c>
      <c r="F76" s="9">
        <f t="shared" si="5"/>
        <v>121.2</v>
      </c>
      <c r="G76" s="9">
        <f t="shared" si="6"/>
        <v>6915.3849999999984</v>
      </c>
      <c r="H76" s="86">
        <f>'[12]1полугодие'!$C$197/1000</f>
        <v>38478.754999999997</v>
      </c>
      <c r="I76" s="9">
        <f t="shared" si="7"/>
        <v>102.7</v>
      </c>
      <c r="J76" t="s">
        <v>103</v>
      </c>
    </row>
    <row r="77" spans="1:13" ht="15.75">
      <c r="A77" s="2"/>
      <c r="B77" s="12" t="s">
        <v>117</v>
      </c>
      <c r="C77" s="17" t="s">
        <v>37</v>
      </c>
      <c r="D77" s="99">
        <f>'[1]1полугодие'!$D$288/1000</f>
        <v>1815.623</v>
      </c>
      <c r="E77" s="14">
        <f>'[1]1полугодие'!$E$288/1000</f>
        <v>12714.996999999999</v>
      </c>
      <c r="F77" s="9">
        <f t="shared" si="5"/>
        <v>700.3</v>
      </c>
      <c r="G77" s="9">
        <f t="shared" si="6"/>
        <v>10899.374</v>
      </c>
      <c r="H77" s="86">
        <f>'[12]1полугодие'!$C$288/1000</f>
        <v>160447.87</v>
      </c>
      <c r="I77" s="9">
        <f t="shared" si="7"/>
        <v>7.9</v>
      </c>
      <c r="J77" t="s">
        <v>103</v>
      </c>
    </row>
    <row r="78" spans="1:13" ht="15.75">
      <c r="A78" s="2"/>
      <c r="B78" s="12" t="s">
        <v>118</v>
      </c>
      <c r="C78" s="17" t="s">
        <v>37</v>
      </c>
      <c r="D78" s="99">
        <v>48400</v>
      </c>
      <c r="E78" s="14">
        <f>122930549/1000</f>
        <v>122930.549</v>
      </c>
      <c r="F78" s="9">
        <f t="shared" si="5"/>
        <v>254</v>
      </c>
      <c r="G78" s="9">
        <f t="shared" si="6"/>
        <v>74530.548999999999</v>
      </c>
      <c r="H78" s="86">
        <v>107366.17</v>
      </c>
      <c r="I78" s="9">
        <f t="shared" si="7"/>
        <v>114.5</v>
      </c>
      <c r="J78" t="s">
        <v>103</v>
      </c>
    </row>
    <row r="79" spans="1:13" ht="15.75" hidden="1" outlineLevel="1">
      <c r="A79" s="2"/>
      <c r="B79" s="12" t="s">
        <v>119</v>
      </c>
      <c r="C79" s="17" t="s">
        <v>37</v>
      </c>
      <c r="D79" s="111"/>
      <c r="E79" s="88"/>
      <c r="F79" s="9" t="e">
        <f t="shared" si="5"/>
        <v>#DIV/0!</v>
      </c>
      <c r="G79" s="9">
        <f t="shared" si="6"/>
        <v>0</v>
      </c>
      <c r="H79" s="120"/>
      <c r="I79" s="9" t="e">
        <f t="shared" si="7"/>
        <v>#DIV/0!</v>
      </c>
    </row>
    <row r="80" spans="1:13" ht="15.75" hidden="1" outlineLevel="1">
      <c r="A80" s="2"/>
      <c r="B80" s="12" t="s">
        <v>120</v>
      </c>
      <c r="C80" s="17" t="s">
        <v>37</v>
      </c>
      <c r="D80" s="111"/>
      <c r="E80" s="88"/>
      <c r="F80" s="9" t="e">
        <f t="shared" si="5"/>
        <v>#DIV/0!</v>
      </c>
      <c r="G80" s="9">
        <f t="shared" si="6"/>
        <v>0</v>
      </c>
      <c r="H80" s="120"/>
      <c r="I80" s="9" t="e">
        <f t="shared" si="7"/>
        <v>#DIV/0!</v>
      </c>
    </row>
    <row r="81" spans="1:10" ht="15.75" hidden="1" outlineLevel="1">
      <c r="A81" s="2"/>
      <c r="B81" s="12" t="s">
        <v>121</v>
      </c>
      <c r="C81" s="17" t="s">
        <v>37</v>
      </c>
      <c r="D81" s="111"/>
      <c r="E81" s="88"/>
      <c r="F81" s="9" t="e">
        <f t="shared" si="5"/>
        <v>#DIV/0!</v>
      </c>
      <c r="G81" s="9">
        <f t="shared" si="6"/>
        <v>0</v>
      </c>
      <c r="H81" s="120"/>
      <c r="I81" s="9" t="e">
        <f t="shared" si="7"/>
        <v>#DIV/0!</v>
      </c>
    </row>
    <row r="82" spans="1:10" ht="15.75" hidden="1" outlineLevel="1">
      <c r="A82" s="2"/>
      <c r="B82" s="12" t="s">
        <v>122</v>
      </c>
      <c r="C82" s="17" t="s">
        <v>37</v>
      </c>
      <c r="D82" s="111"/>
      <c r="E82" s="88"/>
      <c r="F82" s="9" t="e">
        <f t="shared" si="5"/>
        <v>#DIV/0!</v>
      </c>
      <c r="G82" s="9">
        <f t="shared" si="6"/>
        <v>0</v>
      </c>
      <c r="H82" s="120"/>
      <c r="I82" s="9" t="e">
        <f t="shared" si="7"/>
        <v>#DIV/0!</v>
      </c>
    </row>
    <row r="83" spans="1:10" ht="15.75" hidden="1" outlineLevel="1">
      <c r="A83" s="2"/>
      <c r="B83" s="12" t="s">
        <v>123</v>
      </c>
      <c r="C83" s="17" t="s">
        <v>37</v>
      </c>
      <c r="D83" s="111"/>
      <c r="E83" s="88"/>
      <c r="F83" s="9" t="e">
        <f t="shared" si="5"/>
        <v>#DIV/0!</v>
      </c>
      <c r="G83" s="9">
        <f t="shared" si="6"/>
        <v>0</v>
      </c>
      <c r="H83" s="120"/>
      <c r="I83" s="9" t="e">
        <f t="shared" si="7"/>
        <v>#DIV/0!</v>
      </c>
    </row>
    <row r="84" spans="1:10" ht="15.75" hidden="1" outlineLevel="1">
      <c r="A84" s="2"/>
      <c r="B84" s="12" t="s">
        <v>121</v>
      </c>
      <c r="C84" s="17" t="s">
        <v>37</v>
      </c>
      <c r="D84" s="111"/>
      <c r="E84" s="88"/>
      <c r="F84" s="9" t="e">
        <f t="shared" si="5"/>
        <v>#DIV/0!</v>
      </c>
      <c r="G84" s="9">
        <f t="shared" si="6"/>
        <v>0</v>
      </c>
      <c r="H84" s="120"/>
      <c r="I84" s="9" t="e">
        <f t="shared" si="7"/>
        <v>#DIV/0!</v>
      </c>
    </row>
    <row r="85" spans="1:10" ht="15.75" hidden="1" outlineLevel="1">
      <c r="A85" s="2"/>
      <c r="B85" s="12" t="s">
        <v>122</v>
      </c>
      <c r="C85" s="17" t="s">
        <v>37</v>
      </c>
      <c r="D85" s="111"/>
      <c r="E85" s="88"/>
      <c r="F85" s="9" t="e">
        <f t="shared" si="5"/>
        <v>#DIV/0!</v>
      </c>
      <c r="G85" s="9">
        <f t="shared" si="6"/>
        <v>0</v>
      </c>
      <c r="H85" s="120"/>
      <c r="I85" s="9" t="e">
        <f t="shared" si="7"/>
        <v>#DIV/0!</v>
      </c>
    </row>
    <row r="86" spans="1:10" ht="15.75" hidden="1" outlineLevel="1" collapsed="1">
      <c r="A86" s="2"/>
      <c r="B86" s="12" t="s">
        <v>124</v>
      </c>
      <c r="C86" s="17" t="s">
        <v>37</v>
      </c>
      <c r="D86" s="99"/>
      <c r="E86" s="88"/>
      <c r="F86" s="9" t="e">
        <f t="shared" si="5"/>
        <v>#DIV/0!</v>
      </c>
      <c r="G86" s="9">
        <f t="shared" si="6"/>
        <v>0</v>
      </c>
      <c r="H86" s="120"/>
      <c r="I86" s="9"/>
    </row>
    <row r="87" spans="1:10" ht="15.75" hidden="1" outlineLevel="1">
      <c r="A87" s="2"/>
      <c r="B87" s="12" t="s">
        <v>121</v>
      </c>
      <c r="C87" s="17" t="s">
        <v>37</v>
      </c>
      <c r="D87" s="99"/>
      <c r="E87" s="88"/>
      <c r="F87" s="9" t="e">
        <f t="shared" si="5"/>
        <v>#DIV/0!</v>
      </c>
      <c r="G87" s="9">
        <f t="shared" si="6"/>
        <v>0</v>
      </c>
      <c r="H87" s="120"/>
      <c r="I87" s="9" t="e">
        <f>ROUND(E87/H87*100,1)</f>
        <v>#DIV/0!</v>
      </c>
    </row>
    <row r="88" spans="1:10" ht="15.75" hidden="1" outlineLevel="1">
      <c r="A88" s="2"/>
      <c r="B88" s="12" t="s">
        <v>122</v>
      </c>
      <c r="C88" s="17" t="s">
        <v>37</v>
      </c>
      <c r="D88" s="111"/>
      <c r="E88" s="88"/>
      <c r="F88" s="9" t="e">
        <f t="shared" si="5"/>
        <v>#DIV/0!</v>
      </c>
      <c r="G88" s="9">
        <f t="shared" si="6"/>
        <v>0</v>
      </c>
      <c r="H88" s="120"/>
      <c r="I88" s="9"/>
    </row>
    <row r="89" spans="1:10" ht="15.75" collapsed="1">
      <c r="A89" s="2"/>
      <c r="B89" s="12" t="s">
        <v>125</v>
      </c>
      <c r="C89" s="17" t="s">
        <v>37</v>
      </c>
      <c r="D89" s="26">
        <f>D72-D73+D77-D78</f>
        <v>33.711116347825737</v>
      </c>
      <c r="E89" s="28">
        <f>E72-E73+E77-E78</f>
        <v>-116797.79899999998</v>
      </c>
      <c r="F89" s="10">
        <f>ROUND(E89/D89*100,1)</f>
        <v>-346466.7</v>
      </c>
      <c r="G89" s="10">
        <f t="shared" si="6"/>
        <v>-116831.51011634781</v>
      </c>
      <c r="H89" s="10">
        <f>'[12]1полугодие'!$C$294/1000</f>
        <v>3504.4160000000002</v>
      </c>
      <c r="I89" s="10">
        <f t="shared" ref="I89:I96" si="8">ROUND(E89/H89*100,1)</f>
        <v>-3332.9</v>
      </c>
      <c r="J89" t="s">
        <v>103</v>
      </c>
    </row>
    <row r="90" spans="1:10" ht="17.25" hidden="1" customHeight="1" outlineLevel="1">
      <c r="A90" s="2"/>
      <c r="B90" s="12" t="s">
        <v>126</v>
      </c>
      <c r="C90" s="17" t="s">
        <v>37</v>
      </c>
      <c r="D90" s="99"/>
      <c r="E90" s="14"/>
      <c r="F90" s="9"/>
      <c r="G90" s="9">
        <f t="shared" si="6"/>
        <v>0</v>
      </c>
      <c r="H90" s="121"/>
      <c r="I90" s="9" t="e">
        <f t="shared" si="8"/>
        <v>#DIV/0!</v>
      </c>
      <c r="J90" t="s">
        <v>103</v>
      </c>
    </row>
    <row r="91" spans="1:10" ht="17.25" hidden="1" customHeight="1" outlineLevel="1">
      <c r="A91" s="2"/>
      <c r="B91" s="12" t="s">
        <v>127</v>
      </c>
      <c r="C91" s="17" t="s">
        <v>37</v>
      </c>
      <c r="D91" s="111"/>
      <c r="E91" s="88"/>
      <c r="F91" s="9"/>
      <c r="G91" s="9">
        <f t="shared" si="6"/>
        <v>0</v>
      </c>
      <c r="H91" s="122"/>
      <c r="I91" s="9"/>
    </row>
    <row r="92" spans="1:10" ht="15.75" collapsed="1">
      <c r="A92" s="2"/>
      <c r="B92" s="12" t="s">
        <v>128</v>
      </c>
      <c r="C92" s="17" t="s">
        <v>37</v>
      </c>
      <c r="D92" s="111">
        <f>'[1]1полугодие'!$D$295/1000</f>
        <v>33.70911634782329</v>
      </c>
      <c r="E92" s="88"/>
      <c r="F92" s="9">
        <v>0</v>
      </c>
      <c r="G92" s="9">
        <f t="shared" si="6"/>
        <v>-33.70911634782329</v>
      </c>
      <c r="H92" s="86">
        <f>H89</f>
        <v>3504.4160000000002</v>
      </c>
      <c r="I92" s="9"/>
      <c r="J92" t="s">
        <v>103</v>
      </c>
    </row>
    <row r="93" spans="1:10" ht="17.25" customHeight="1">
      <c r="A93" s="2"/>
      <c r="B93" s="12" t="s">
        <v>129</v>
      </c>
      <c r="C93" s="17" t="s">
        <v>37</v>
      </c>
      <c r="D93" s="111">
        <f>D92*15%</f>
        <v>5.0563674521734931</v>
      </c>
      <c r="E93" s="88"/>
      <c r="F93" s="9">
        <v>0</v>
      </c>
      <c r="G93" s="9">
        <f t="shared" si="6"/>
        <v>-5.0563674521734931</v>
      </c>
      <c r="H93" s="86">
        <f>'[12]1полугодие'!$C$298/1000</f>
        <v>849.66899999999998</v>
      </c>
      <c r="I93" s="9">
        <f t="shared" si="8"/>
        <v>0</v>
      </c>
      <c r="J93" t="s">
        <v>103</v>
      </c>
    </row>
    <row r="94" spans="1:10" ht="15.75" hidden="1" outlineLevel="1">
      <c r="A94" s="2"/>
      <c r="B94" s="12" t="s">
        <v>130</v>
      </c>
      <c r="C94" s="17" t="s">
        <v>37</v>
      </c>
      <c r="D94" s="111">
        <v>0</v>
      </c>
      <c r="E94" s="88">
        <v>0</v>
      </c>
      <c r="F94" s="9"/>
      <c r="G94" s="9">
        <f t="shared" si="6"/>
        <v>0</v>
      </c>
      <c r="H94" s="86"/>
      <c r="I94" s="9"/>
      <c r="J94" t="s">
        <v>103</v>
      </c>
    </row>
    <row r="95" spans="1:10" ht="15.75" hidden="1" outlineLevel="1">
      <c r="A95" s="2"/>
      <c r="B95" s="12" t="s">
        <v>131</v>
      </c>
      <c r="C95" s="17" t="s">
        <v>37</v>
      </c>
      <c r="D95" s="111"/>
      <c r="E95" s="88"/>
      <c r="F95" s="9" t="e">
        <f t="shared" si="5"/>
        <v>#DIV/0!</v>
      </c>
      <c r="G95" s="9">
        <f t="shared" si="6"/>
        <v>0</v>
      </c>
      <c r="H95" s="86"/>
      <c r="I95" s="9" t="e">
        <f t="shared" si="8"/>
        <v>#DIV/0!</v>
      </c>
    </row>
    <row r="96" spans="1:10" ht="15.75" collapsed="1">
      <c r="A96" s="2"/>
      <c r="B96" s="12" t="s">
        <v>132</v>
      </c>
      <c r="C96" s="17" t="s">
        <v>37</v>
      </c>
      <c r="D96" s="33">
        <f>D89-D93-D94</f>
        <v>28.654748895652244</v>
      </c>
      <c r="E96" s="34">
        <f>E89-E93-E94</f>
        <v>-116797.79899999998</v>
      </c>
      <c r="F96" s="9">
        <f>ROUND(E96/D96*100,1)</f>
        <v>-407603.6</v>
      </c>
      <c r="G96" s="9">
        <f t="shared" si="6"/>
        <v>-116826.45374889564</v>
      </c>
      <c r="H96" s="86">
        <f>H89-H93-H94</f>
        <v>2654.7470000000003</v>
      </c>
      <c r="I96" s="9">
        <f t="shared" si="8"/>
        <v>-4399.6000000000004</v>
      </c>
      <c r="J96" t="s">
        <v>103</v>
      </c>
    </row>
    <row r="97" spans="1:12" ht="15.75" hidden="1" outlineLevel="1">
      <c r="A97" s="2"/>
      <c r="B97" s="123" t="s">
        <v>133</v>
      </c>
      <c r="C97" s="17" t="s">
        <v>37</v>
      </c>
      <c r="D97" s="124"/>
      <c r="E97" s="125"/>
      <c r="F97" s="126"/>
      <c r="G97" s="126"/>
      <c r="H97" s="102"/>
      <c r="I97" s="126"/>
    </row>
    <row r="98" spans="1:12" ht="15.75" hidden="1" outlineLevel="1">
      <c r="A98" s="2"/>
      <c r="B98" s="12" t="s">
        <v>134</v>
      </c>
      <c r="C98" s="17" t="s">
        <v>37</v>
      </c>
      <c r="D98" s="87"/>
      <c r="E98" s="14"/>
      <c r="F98" s="9">
        <f>IF(E98&gt;0,ROUND(E98/D98*100,1),0)</f>
        <v>0</v>
      </c>
      <c r="G98" s="9">
        <f>E98-D98</f>
        <v>0</v>
      </c>
      <c r="H98" s="102"/>
      <c r="I98" s="7"/>
    </row>
    <row r="99" spans="1:12" ht="16.5" hidden="1" customHeight="1" outlineLevel="1">
      <c r="A99" s="2"/>
      <c r="B99" s="12" t="s">
        <v>135</v>
      </c>
      <c r="C99" s="17" t="s">
        <v>37</v>
      </c>
      <c r="D99" s="87"/>
      <c r="E99" s="14"/>
      <c r="F99" s="7"/>
      <c r="G99" s="7"/>
      <c r="H99" s="102"/>
      <c r="I99" s="7"/>
    </row>
    <row r="100" spans="1:12" ht="16.5" hidden="1" customHeight="1" outlineLevel="1">
      <c r="A100" s="127"/>
      <c r="B100" s="128" t="s">
        <v>119</v>
      </c>
      <c r="C100" s="17" t="s">
        <v>37</v>
      </c>
      <c r="D100" s="129">
        <v>0</v>
      </c>
      <c r="E100" s="130"/>
      <c r="F100" s="131"/>
      <c r="G100" s="131"/>
      <c r="H100" s="132"/>
      <c r="I100" s="131"/>
    </row>
    <row r="101" spans="1:12" ht="15.75" collapsed="1">
      <c r="A101" s="2" t="s">
        <v>136</v>
      </c>
      <c r="B101" s="3" t="s">
        <v>137</v>
      </c>
      <c r="C101" s="17" t="s">
        <v>37</v>
      </c>
      <c r="D101" s="87"/>
      <c r="E101" s="88"/>
      <c r="F101" s="9"/>
      <c r="G101" s="9"/>
      <c r="H101" s="7"/>
      <c r="I101" s="9"/>
    </row>
    <row r="102" spans="1:12" ht="15.75">
      <c r="A102" s="2"/>
      <c r="B102" s="8" t="s">
        <v>138</v>
      </c>
      <c r="C102" s="17" t="s">
        <v>37</v>
      </c>
      <c r="D102" s="6">
        <f>D103+D104+D105+D106+D107</f>
        <v>37042.074367452173</v>
      </c>
      <c r="E102" s="133">
        <f>E103+E104+E105+E106+E107</f>
        <v>32917.883000000002</v>
      </c>
      <c r="F102" s="10">
        <f>ROUND(E102/D102*100,1)</f>
        <v>88.9</v>
      </c>
      <c r="G102" s="10">
        <f>E102-D102</f>
        <v>-4124.1913674521711</v>
      </c>
      <c r="H102" s="10">
        <f>H103+H104+H105+H106+H107</f>
        <v>32810.968999999997</v>
      </c>
      <c r="I102" s="10">
        <f>ROUND(E102/H102*100,1)</f>
        <v>100.3</v>
      </c>
      <c r="J102" s="11" t="s">
        <v>139</v>
      </c>
    </row>
    <row r="103" spans="1:12" ht="15.75">
      <c r="A103" s="2"/>
      <c r="B103" s="119" t="s">
        <v>140</v>
      </c>
      <c r="C103" s="17" t="s">
        <v>37</v>
      </c>
      <c r="D103" s="34">
        <f>D93</f>
        <v>5.0563674521734931</v>
      </c>
      <c r="E103" s="88">
        <f>E93</f>
        <v>0</v>
      </c>
      <c r="F103" s="9">
        <f>ROUND(E103/D103*100,1)</f>
        <v>0</v>
      </c>
      <c r="G103" s="9">
        <f>E103-D103</f>
        <v>-5.0563674521734931</v>
      </c>
      <c r="H103" s="86">
        <f>H93</f>
        <v>849.66899999999998</v>
      </c>
      <c r="I103" s="9">
        <f>ROUND(E103/H103*100,1)</f>
        <v>0</v>
      </c>
      <c r="J103" s="11" t="s">
        <v>139</v>
      </c>
    </row>
    <row r="104" spans="1:12" ht="17.25" customHeight="1">
      <c r="A104" s="2"/>
      <c r="B104" s="119" t="s">
        <v>141</v>
      </c>
      <c r="C104" s="17" t="s">
        <v>37</v>
      </c>
      <c r="D104" s="87"/>
      <c r="E104" s="88"/>
      <c r="F104" s="7"/>
      <c r="G104" s="7"/>
      <c r="H104" s="86"/>
      <c r="I104" s="9"/>
      <c r="J104" s="11"/>
    </row>
    <row r="105" spans="1:12" ht="17.25" customHeight="1">
      <c r="A105" s="2"/>
      <c r="B105" s="134" t="s">
        <v>142</v>
      </c>
      <c r="C105" s="17" t="s">
        <v>37</v>
      </c>
      <c r="D105" s="34">
        <f>D94</f>
        <v>0</v>
      </c>
      <c r="E105" s="34">
        <f>E94</f>
        <v>0</v>
      </c>
      <c r="F105" s="9"/>
      <c r="G105" s="7">
        <f>E105-D105</f>
        <v>0</v>
      </c>
      <c r="H105" s="86">
        <v>0</v>
      </c>
      <c r="I105" s="9"/>
      <c r="J105" s="11" t="s">
        <v>139</v>
      </c>
    </row>
    <row r="106" spans="1:12" ht="19.5" customHeight="1">
      <c r="A106" s="2"/>
      <c r="B106" s="119" t="s">
        <v>143</v>
      </c>
      <c r="C106" s="17" t="s">
        <v>37</v>
      </c>
      <c r="D106" s="91">
        <f>E106</f>
        <v>19346</v>
      </c>
      <c r="E106" s="14">
        <v>19346</v>
      </c>
      <c r="F106" s="9">
        <f>ROUND(E106/D106*100,1)</f>
        <v>100</v>
      </c>
      <c r="G106" s="135">
        <f>E106-D106</f>
        <v>0</v>
      </c>
      <c r="H106" s="86">
        <v>19380</v>
      </c>
      <c r="I106" s="9">
        <f>ROUND(E106/H106*100,1)</f>
        <v>99.8</v>
      </c>
      <c r="J106" s="11" t="s">
        <v>139</v>
      </c>
    </row>
    <row r="107" spans="1:12" ht="20.25" customHeight="1">
      <c r="A107" s="2"/>
      <c r="B107" s="136" t="s">
        <v>144</v>
      </c>
      <c r="C107" s="17" t="s">
        <v>37</v>
      </c>
      <c r="D107" s="6">
        <f>SUM(D108:D112)</f>
        <v>17691.018</v>
      </c>
      <c r="E107" s="6">
        <f>SUM(E108:E112)</f>
        <v>13571.883</v>
      </c>
      <c r="F107" s="10">
        <f>ROUND(E107/D107*100,1)</f>
        <v>76.7</v>
      </c>
      <c r="G107" s="10">
        <f>E107-D107</f>
        <v>-4119.1350000000002</v>
      </c>
      <c r="H107" s="10">
        <f>SUM(H108:H112)</f>
        <v>12581.3</v>
      </c>
      <c r="I107" s="10">
        <f>IF(H107&gt;0,ROUND(E107/H107*100,1),0)</f>
        <v>107.9</v>
      </c>
      <c r="J107" s="11" t="s">
        <v>139</v>
      </c>
    </row>
    <row r="108" spans="1:12" ht="15.75">
      <c r="A108" s="2"/>
      <c r="B108" s="137" t="str">
        <f>'[1]1полугодие'!$A$245</f>
        <v xml:space="preserve">  - налог на имущ, по неиспольз.объектам Ангрен</v>
      </c>
      <c r="C108" s="17" t="s">
        <v>37</v>
      </c>
      <c r="D108" s="87">
        <v>0</v>
      </c>
      <c r="E108" s="88">
        <v>47.750999999999998</v>
      </c>
      <c r="F108" s="7"/>
      <c r="G108" s="7"/>
      <c r="H108" s="86"/>
      <c r="I108" s="7"/>
    </row>
    <row r="109" spans="1:12" s="19" customFormat="1" ht="15.75">
      <c r="A109" s="15"/>
      <c r="B109" s="30" t="s">
        <v>146</v>
      </c>
      <c r="C109" s="17" t="s">
        <v>37</v>
      </c>
      <c r="D109" s="87">
        <f>'[1]1полугодие'!$D$248/1000</f>
        <v>1431.8219999999999</v>
      </c>
      <c r="E109" s="88">
        <f>'[1]1полугодие'!$E$248/1000</f>
        <v>1269.854</v>
      </c>
      <c r="F109" s="18">
        <f>ROUND(E109/D109*100,1)</f>
        <v>88.7</v>
      </c>
      <c r="G109" s="18">
        <f>E109-D109</f>
        <v>-161.96799999999985</v>
      </c>
      <c r="H109" s="86">
        <v>2933</v>
      </c>
      <c r="I109" s="34">
        <f>ROUND(E109/H109*100,1)</f>
        <v>43.3</v>
      </c>
      <c r="J109" s="11" t="s">
        <v>139</v>
      </c>
      <c r="K109"/>
      <c r="L109"/>
    </row>
    <row r="110" spans="1:12" ht="15.75">
      <c r="A110" s="2"/>
      <c r="B110" s="138" t="s">
        <v>147</v>
      </c>
      <c r="C110" s="17" t="s">
        <v>37</v>
      </c>
      <c r="D110" s="87">
        <f>'[1]1полугодие'!$D$249/1000</f>
        <v>269.35399999999998</v>
      </c>
      <c r="E110" s="88">
        <f>'[1]1полугодие'!$E$249/1000</f>
        <v>300.07400000000001</v>
      </c>
      <c r="F110" s="9">
        <f>ROUND(E110/D110*100,1)</f>
        <v>111.4</v>
      </c>
      <c r="G110" s="9">
        <f>E110-D110</f>
        <v>30.720000000000027</v>
      </c>
      <c r="H110" s="86">
        <v>244.3</v>
      </c>
      <c r="I110" s="7">
        <f>ROUND(E110/H110*100,1)</f>
        <v>122.8</v>
      </c>
      <c r="J110" s="11" t="s">
        <v>139</v>
      </c>
    </row>
    <row r="111" spans="1:12" ht="15.75">
      <c r="A111" s="2"/>
      <c r="B111" s="138" t="s">
        <v>148</v>
      </c>
      <c r="C111" s="17" t="s">
        <v>37</v>
      </c>
      <c r="D111" s="87">
        <f>'[1]1полугодие'!$D$250/1000</f>
        <v>3914.04</v>
      </c>
      <c r="E111" s="88">
        <f>'[1]1полугодие'!$E$250/1000</f>
        <v>3853.2060000000001</v>
      </c>
      <c r="F111" s="9">
        <f>ROUND(E111/D111*100,1)</f>
        <v>98.4</v>
      </c>
      <c r="G111" s="9">
        <f>E111-D111</f>
        <v>-60.833999999999833</v>
      </c>
      <c r="H111" s="86">
        <v>3347</v>
      </c>
      <c r="I111" s="7">
        <f>ROUND(E111/H111*100,1)</f>
        <v>115.1</v>
      </c>
      <c r="J111" s="11" t="s">
        <v>139</v>
      </c>
    </row>
    <row r="112" spans="1:12" ht="15.75">
      <c r="A112" s="2"/>
      <c r="B112" s="138" t="s">
        <v>149</v>
      </c>
      <c r="C112" s="17" t="s">
        <v>37</v>
      </c>
      <c r="D112" s="87">
        <f>'[1]1полугодие'!$D$247/1000</f>
        <v>12075.802</v>
      </c>
      <c r="E112" s="88">
        <f>'[1]1полугодие'!$E$247/1000</f>
        <v>8100.9979999999996</v>
      </c>
      <c r="F112" s="9">
        <f>ROUND(E112/D112*100,1)</f>
        <v>67.099999999999994</v>
      </c>
      <c r="G112" s="9">
        <f>E112-D112</f>
        <v>-3974.8040000000001</v>
      </c>
      <c r="H112" s="86">
        <v>6057</v>
      </c>
      <c r="I112" s="7">
        <f>ROUND(E112/H112*100,1)</f>
        <v>133.69999999999999</v>
      </c>
      <c r="J112" s="11" t="s">
        <v>139</v>
      </c>
    </row>
    <row r="113" spans="1:13" ht="21" customHeight="1">
      <c r="A113" s="2"/>
      <c r="B113" s="139" t="s">
        <v>150</v>
      </c>
      <c r="C113" s="17" t="s">
        <v>37</v>
      </c>
      <c r="D113" s="6">
        <f>SUM(D115:D121)</f>
        <v>12674.231</v>
      </c>
      <c r="E113" s="6">
        <f>SUM(E115:E121)</f>
        <v>14725.021000000001</v>
      </c>
      <c r="F113" s="10">
        <f>ROUND(E113/D113*100,1)</f>
        <v>116.2</v>
      </c>
      <c r="G113" s="10">
        <f>E113-D113</f>
        <v>2050.7900000000009</v>
      </c>
      <c r="H113" s="10">
        <f>SUM(H115:H121)</f>
        <v>14597</v>
      </c>
      <c r="I113" s="10">
        <f>ROUND(E113/H113*100,1)</f>
        <v>100.9</v>
      </c>
      <c r="J113" s="11" t="s">
        <v>139</v>
      </c>
    </row>
    <row r="114" spans="1:13" ht="15.75">
      <c r="A114" s="2"/>
      <c r="B114" s="2" t="s">
        <v>12</v>
      </c>
      <c r="C114" s="17" t="s">
        <v>37</v>
      </c>
      <c r="D114" s="87"/>
      <c r="E114" s="88"/>
      <c r="F114" s="7"/>
      <c r="G114" s="7"/>
      <c r="H114" s="102"/>
      <c r="I114" s="7"/>
    </row>
    <row r="115" spans="1:13" ht="21" hidden="1" customHeight="1" outlineLevel="1">
      <c r="A115" s="2"/>
      <c r="B115" s="140" t="s">
        <v>210</v>
      </c>
      <c r="C115" s="17" t="s">
        <v>37</v>
      </c>
      <c r="D115" s="91"/>
      <c r="E115" s="14"/>
      <c r="F115" s="9"/>
      <c r="G115" s="9">
        <f t="shared" ref="G115:G122" si="9">E115-D115</f>
        <v>0</v>
      </c>
      <c r="H115" s="86">
        <v>0</v>
      </c>
      <c r="I115" s="9" t="e">
        <f t="shared" ref="I115:I122" si="10">ROUND(E115/H115*100,1)</f>
        <v>#DIV/0!</v>
      </c>
      <c r="J115" s="11" t="s">
        <v>139</v>
      </c>
    </row>
    <row r="116" spans="1:13" ht="30" hidden="1" customHeight="1" outlineLevel="1">
      <c r="A116" s="2"/>
      <c r="B116" s="140" t="s">
        <v>211</v>
      </c>
      <c r="C116" s="17" t="s">
        <v>37</v>
      </c>
      <c r="D116" s="91"/>
      <c r="E116" s="14"/>
      <c r="F116" s="9"/>
      <c r="G116" s="9">
        <f t="shared" si="9"/>
        <v>0</v>
      </c>
      <c r="H116" s="86">
        <v>0</v>
      </c>
      <c r="I116" s="9" t="e">
        <f t="shared" si="10"/>
        <v>#DIV/0!</v>
      </c>
      <c r="J116" s="11" t="s">
        <v>139</v>
      </c>
    </row>
    <row r="117" spans="1:13" ht="15.75" collapsed="1">
      <c r="A117" s="2"/>
      <c r="B117" s="140" t="s">
        <v>212</v>
      </c>
      <c r="C117" s="17" t="s">
        <v>37</v>
      </c>
      <c r="D117" s="18">
        <v>11367.187</v>
      </c>
      <c r="E117" s="18">
        <v>11085</v>
      </c>
      <c r="F117" s="9">
        <f>ROUND(E117/D117*100,1)</f>
        <v>97.5</v>
      </c>
      <c r="G117" s="9">
        <f t="shared" si="9"/>
        <v>-282.1869999999999</v>
      </c>
      <c r="H117" s="86">
        <v>14324</v>
      </c>
      <c r="I117" s="9">
        <f t="shared" si="10"/>
        <v>77.400000000000006</v>
      </c>
      <c r="J117" s="11" t="s">
        <v>139</v>
      </c>
    </row>
    <row r="118" spans="1:13" ht="34.5" customHeight="1">
      <c r="A118" s="127"/>
      <c r="B118" s="2" t="e">
        <f>#REF!</f>
        <v>#REF!</v>
      </c>
      <c r="C118" s="17" t="s">
        <v>37</v>
      </c>
      <c r="D118" s="91">
        <f>('[1]1полугодие'!$D$243+'[1]1полугодие'!$D$244)/1000</f>
        <v>1307.0440000000001</v>
      </c>
      <c r="E118" s="141">
        <f>('[1]1полугодие'!$E$243+'[1]1полугодие'!$E$244)/1000</f>
        <v>1587.84</v>
      </c>
      <c r="F118" s="9">
        <f>ROUND(E118/D118*100,1)</f>
        <v>121.5</v>
      </c>
      <c r="G118" s="35">
        <f t="shared" si="9"/>
        <v>280.79599999999982</v>
      </c>
      <c r="H118" s="86">
        <v>27</v>
      </c>
      <c r="I118" s="9"/>
      <c r="J118" s="11" t="s">
        <v>139</v>
      </c>
    </row>
    <row r="119" spans="1:13" ht="36.75" hidden="1" customHeight="1" outlineLevel="1">
      <c r="A119" s="2"/>
      <c r="B119" s="2" t="s">
        <v>154</v>
      </c>
      <c r="C119" s="17" t="s">
        <v>37</v>
      </c>
      <c r="D119" s="91"/>
      <c r="E119" s="14"/>
      <c r="F119" s="9" t="e">
        <f t="shared" ref="F119:F120" si="11">ROUND(E119/D119*100,1)</f>
        <v>#DIV/0!</v>
      </c>
      <c r="G119" s="35">
        <f t="shared" si="9"/>
        <v>0</v>
      </c>
      <c r="H119" s="86"/>
      <c r="I119" s="9"/>
      <c r="J119" s="11" t="s">
        <v>139</v>
      </c>
      <c r="M119">
        <f>15287.1+3820.2</f>
        <v>19107.3</v>
      </c>
    </row>
    <row r="120" spans="1:13" ht="36" hidden="1" customHeight="1" outlineLevel="1">
      <c r="A120" s="2"/>
      <c r="B120" s="2" t="s">
        <v>155</v>
      </c>
      <c r="C120" s="17" t="s">
        <v>37</v>
      </c>
      <c r="D120" s="18"/>
      <c r="E120" s="14"/>
      <c r="F120" s="9" t="e">
        <f t="shared" si="11"/>
        <v>#DIV/0!</v>
      </c>
      <c r="G120" s="18">
        <f t="shared" si="9"/>
        <v>0</v>
      </c>
      <c r="H120" s="86"/>
      <c r="I120" s="9" t="e">
        <f t="shared" si="10"/>
        <v>#DIV/0!</v>
      </c>
      <c r="J120" s="11" t="s">
        <v>139</v>
      </c>
    </row>
    <row r="121" spans="1:13" ht="24" customHeight="1" collapsed="1">
      <c r="A121" s="2"/>
      <c r="B121" s="150" t="s">
        <v>219</v>
      </c>
      <c r="C121" s="17" t="s">
        <v>37</v>
      </c>
      <c r="D121" s="91"/>
      <c r="E121" s="14">
        <f>'[1]1полугодие'!$E$253/1000</f>
        <v>2052.181</v>
      </c>
      <c r="F121" s="9"/>
      <c r="G121" s="18">
        <f t="shared" si="9"/>
        <v>2052.181</v>
      </c>
      <c r="H121" s="86">
        <v>246</v>
      </c>
      <c r="I121" s="9"/>
      <c r="J121" s="11"/>
    </row>
    <row r="122" spans="1:13" ht="15.75">
      <c r="A122" s="2"/>
      <c r="B122" s="3" t="s">
        <v>156</v>
      </c>
      <c r="C122" s="17" t="s">
        <v>37</v>
      </c>
      <c r="D122" s="6">
        <f>D102+D113</f>
        <v>49716.305367452173</v>
      </c>
      <c r="E122" s="6">
        <f>E102+E113</f>
        <v>47642.904000000002</v>
      </c>
      <c r="F122" s="10">
        <f>ROUND(E122/D122*100,1)</f>
        <v>95.8</v>
      </c>
      <c r="G122" s="10">
        <f t="shared" si="9"/>
        <v>-2073.4013674521702</v>
      </c>
      <c r="H122" s="10">
        <f>H102+H113</f>
        <v>47407.968999999997</v>
      </c>
      <c r="I122" s="10">
        <f t="shared" si="10"/>
        <v>100.5</v>
      </c>
      <c r="J122" s="11" t="s">
        <v>139</v>
      </c>
    </row>
    <row r="123" spans="1:13" ht="15.75">
      <c r="A123" s="2" t="s">
        <v>157</v>
      </c>
      <c r="B123" s="3" t="s">
        <v>158</v>
      </c>
      <c r="C123" s="17" t="s">
        <v>37</v>
      </c>
      <c r="D123" s="142" t="s">
        <v>73</v>
      </c>
      <c r="E123" s="133" t="s">
        <v>73</v>
      </c>
      <c r="F123" s="10" t="s">
        <v>73</v>
      </c>
      <c r="G123" s="10" t="s">
        <v>73</v>
      </c>
      <c r="H123" s="10" t="s">
        <v>73</v>
      </c>
      <c r="I123" s="10" t="s">
        <v>73</v>
      </c>
    </row>
    <row r="124" spans="1:13" ht="27" customHeight="1">
      <c r="A124" s="2"/>
      <c r="B124" s="143" t="s">
        <v>159</v>
      </c>
      <c r="C124" s="17" t="s">
        <v>37</v>
      </c>
      <c r="D124" s="142" t="s">
        <v>73</v>
      </c>
      <c r="E124" s="133" t="s">
        <v>73</v>
      </c>
      <c r="F124" s="10" t="s">
        <v>73</v>
      </c>
      <c r="G124" s="10" t="s">
        <v>73</v>
      </c>
      <c r="H124" s="9" t="s">
        <v>73</v>
      </c>
      <c r="I124" s="10" t="s">
        <v>73</v>
      </c>
      <c r="J124" s="36"/>
      <c r="K124" s="1"/>
    </row>
    <row r="125" spans="1:13" ht="18" hidden="1" customHeight="1" outlineLevel="1">
      <c r="A125" s="2"/>
      <c r="B125" s="12" t="s">
        <v>160</v>
      </c>
      <c r="C125" s="17" t="s">
        <v>37</v>
      </c>
      <c r="D125" s="91"/>
      <c r="E125" s="14"/>
      <c r="F125" s="9"/>
      <c r="G125" s="9"/>
      <c r="H125" s="9"/>
      <c r="I125" s="9"/>
    </row>
    <row r="126" spans="1:13" ht="24" customHeight="1" collapsed="1">
      <c r="A126" s="2" t="s">
        <v>161</v>
      </c>
      <c r="B126" s="3" t="s">
        <v>162</v>
      </c>
      <c r="C126" s="17" t="s">
        <v>37</v>
      </c>
      <c r="D126" s="6">
        <f>SUM(D128:D131)</f>
        <v>302249.58649565215</v>
      </c>
      <c r="E126" s="6">
        <f>SUM(E128:E131)</f>
        <v>265449.20699999999</v>
      </c>
      <c r="F126" s="10">
        <f>ROUND(E126/D126*100,1)</f>
        <v>87.8</v>
      </c>
      <c r="G126" s="10">
        <f t="shared" ref="G126:G147" si="12">E126-D126</f>
        <v>-36800.37949565216</v>
      </c>
      <c r="H126" s="10">
        <f>SUM(H128:H131)</f>
        <v>220191.4</v>
      </c>
      <c r="I126" s="10">
        <f>ROUND(E126/H126*100,1)</f>
        <v>120.6</v>
      </c>
      <c r="J126" s="11" t="s">
        <v>139</v>
      </c>
      <c r="M126" s="11"/>
    </row>
    <row r="127" spans="1:13" ht="15.75">
      <c r="A127" s="2"/>
      <c r="B127" s="2" t="s">
        <v>163</v>
      </c>
      <c r="C127" s="17" t="s">
        <v>37</v>
      </c>
      <c r="D127" s="18"/>
      <c r="E127" s="18"/>
      <c r="F127" s="9"/>
      <c r="G127" s="9">
        <f t="shared" si="12"/>
        <v>0</v>
      </c>
      <c r="H127" s="9"/>
      <c r="I127" s="9"/>
      <c r="M127" s="11"/>
    </row>
    <row r="128" spans="1:13" ht="19.5" customHeight="1">
      <c r="A128" s="2"/>
      <c r="B128" s="119" t="s">
        <v>164</v>
      </c>
      <c r="C128" s="17" t="s">
        <v>37</v>
      </c>
      <c r="D128" s="91">
        <f>'[1]1полугодие'!$D$16/1000</f>
        <v>123467.40399999999</v>
      </c>
      <c r="E128" s="14">
        <f>'[1]1полугодие'!$E$16/1000</f>
        <v>100454.38499999999</v>
      </c>
      <c r="F128" s="18">
        <f>ROUND(E128/D128*100,1)</f>
        <v>81.400000000000006</v>
      </c>
      <c r="G128" s="18">
        <f t="shared" si="12"/>
        <v>-23013.019</v>
      </c>
      <c r="H128" s="86">
        <v>86666.7</v>
      </c>
      <c r="I128" s="9">
        <f>ROUND(E128/H128*100,1)</f>
        <v>115.9</v>
      </c>
      <c r="J128" s="11" t="s">
        <v>139</v>
      </c>
    </row>
    <row r="129" spans="1:13" ht="18" customHeight="1">
      <c r="A129" s="2"/>
      <c r="B129" s="119" t="s">
        <v>165</v>
      </c>
      <c r="C129" s="17" t="s">
        <v>37</v>
      </c>
      <c r="D129" s="91">
        <f>('[1]1полугодие'!$D$60+'[1]1полугодие'!$D$61)/1000</f>
        <v>106260.8585</v>
      </c>
      <c r="E129" s="14">
        <f>('[1]1полугодие'!$E$60+'[1]1полугодие'!$E$61)/1000</f>
        <v>77803.706000000006</v>
      </c>
      <c r="F129" s="18">
        <f>ROUND(E129/D129*100,1)</f>
        <v>73.2</v>
      </c>
      <c r="G129" s="18">
        <f t="shared" si="12"/>
        <v>-28457.152499999997</v>
      </c>
      <c r="H129" s="86">
        <v>66569.2</v>
      </c>
      <c r="I129" s="9">
        <f>ROUND(E129/H129*100,1)</f>
        <v>116.9</v>
      </c>
      <c r="J129" s="11" t="s">
        <v>139</v>
      </c>
    </row>
    <row r="130" spans="1:13" ht="31.5">
      <c r="A130" s="2"/>
      <c r="B130" s="119" t="s">
        <v>166</v>
      </c>
      <c r="C130" s="17" t="s">
        <v>37</v>
      </c>
      <c r="D130" s="91">
        <f>'[1]1полугодие'!$D$62/1000</f>
        <v>59475.74</v>
      </c>
      <c r="E130" s="14">
        <f>'[1]1полугодие'!$E$62/1000</f>
        <v>73320.111000000004</v>
      </c>
      <c r="F130" s="18">
        <f>ROUND(E130/D130*100,1)</f>
        <v>123.3</v>
      </c>
      <c r="G130" s="18">
        <f t="shared" si="12"/>
        <v>13844.371000000006</v>
      </c>
      <c r="H130" s="86">
        <v>55477</v>
      </c>
      <c r="I130" s="9">
        <f>ROUND(E130/H130*100,1)</f>
        <v>132.19999999999999</v>
      </c>
      <c r="J130" s="11" t="s">
        <v>139</v>
      </c>
    </row>
    <row r="131" spans="1:13" ht="15.75">
      <c r="A131" s="2"/>
      <c r="B131" s="119" t="s">
        <v>167</v>
      </c>
      <c r="C131" s="17" t="s">
        <v>37</v>
      </c>
      <c r="D131" s="91">
        <f>'[1]1полугодие'!$D$65/1000</f>
        <v>13045.583995652172</v>
      </c>
      <c r="E131" s="14">
        <f>'[1]1полугодие'!$E$65/1000</f>
        <v>13871.004999999999</v>
      </c>
      <c r="F131" s="18">
        <f>ROUND(E131/D131*100,1)</f>
        <v>106.3</v>
      </c>
      <c r="G131" s="18">
        <f t="shared" si="12"/>
        <v>825.42100434782697</v>
      </c>
      <c r="H131" s="86">
        <v>11478.5</v>
      </c>
      <c r="I131" s="9">
        <f>ROUND(E131/H131*100,1)</f>
        <v>120.8</v>
      </c>
      <c r="J131" s="11" t="s">
        <v>139</v>
      </c>
    </row>
    <row r="132" spans="1:13" ht="23.25" customHeight="1">
      <c r="A132" s="13" t="s">
        <v>168</v>
      </c>
      <c r="B132" s="144" t="s">
        <v>169</v>
      </c>
      <c r="C132" s="17" t="s">
        <v>37</v>
      </c>
      <c r="D132" s="91"/>
      <c r="E132" s="133">
        <v>2429010</v>
      </c>
      <c r="F132" s="6"/>
      <c r="G132" s="6">
        <f>E132-D132</f>
        <v>2429010</v>
      </c>
      <c r="H132" s="86"/>
      <c r="I132" s="10">
        <f>IF(H132&gt;0,ROUND(E132/H132*100,1),0)</f>
        <v>0</v>
      </c>
      <c r="K132" t="s">
        <v>170</v>
      </c>
    </row>
    <row r="133" spans="1:13" ht="15.75">
      <c r="A133" s="2"/>
      <c r="B133" s="2" t="s">
        <v>12</v>
      </c>
      <c r="C133" s="17" t="s">
        <v>37</v>
      </c>
      <c r="D133" s="91"/>
      <c r="E133" s="14"/>
      <c r="F133" s="9"/>
      <c r="G133" s="9">
        <f t="shared" si="12"/>
        <v>0</v>
      </c>
      <c r="H133" s="86"/>
      <c r="I133" s="9"/>
    </row>
    <row r="134" spans="1:13" ht="24.75" customHeight="1">
      <c r="A134" s="2"/>
      <c r="B134" s="8" t="s">
        <v>171</v>
      </c>
      <c r="C134" s="17" t="s">
        <v>37</v>
      </c>
      <c r="D134" s="87"/>
      <c r="E134" s="88">
        <v>1946765</v>
      </c>
      <c r="F134" s="7"/>
      <c r="G134" s="7">
        <f t="shared" si="12"/>
        <v>1946765</v>
      </c>
      <c r="H134" s="86">
        <v>587115</v>
      </c>
      <c r="I134" s="7">
        <f>IF(H134&gt;0,ROUND(E134/H134*100,1),0)</f>
        <v>331.6</v>
      </c>
      <c r="K134" t="s">
        <v>170</v>
      </c>
      <c r="L134" t="s">
        <v>170</v>
      </c>
      <c r="M134" t="s">
        <v>172</v>
      </c>
    </row>
    <row r="135" spans="1:13" ht="15.75">
      <c r="A135" s="2"/>
      <c r="B135" s="2" t="s">
        <v>163</v>
      </c>
      <c r="C135" s="17" t="s">
        <v>37</v>
      </c>
      <c r="D135" s="91"/>
      <c r="E135" s="14"/>
      <c r="F135" s="9"/>
      <c r="G135" s="9">
        <f t="shared" si="12"/>
        <v>0</v>
      </c>
      <c r="H135" s="86"/>
      <c r="I135" s="9"/>
    </row>
    <row r="136" spans="1:13" ht="15.75">
      <c r="A136" s="2"/>
      <c r="B136" s="119" t="s">
        <v>173</v>
      </c>
      <c r="C136" s="17" t="s">
        <v>37</v>
      </c>
      <c r="D136" s="91"/>
      <c r="E136" s="14">
        <v>1191857</v>
      </c>
      <c r="F136" s="9"/>
      <c r="G136" s="9">
        <f t="shared" si="12"/>
        <v>1191857</v>
      </c>
      <c r="H136" s="86">
        <v>1685184</v>
      </c>
      <c r="I136" s="9">
        <f>IF(H136&gt;0,ROUND(E136/H136*100,1),0)</f>
        <v>70.7</v>
      </c>
      <c r="K136" t="s">
        <v>170</v>
      </c>
      <c r="L136" t="s">
        <v>170</v>
      </c>
      <c r="M136" t="s">
        <v>174</v>
      </c>
    </row>
    <row r="137" spans="1:13" ht="15.75">
      <c r="A137" s="2"/>
      <c r="B137" s="119" t="s">
        <v>175</v>
      </c>
      <c r="C137" s="17" t="s">
        <v>37</v>
      </c>
      <c r="D137" s="91"/>
      <c r="E137" s="14">
        <v>293</v>
      </c>
      <c r="F137" s="9"/>
      <c r="G137" s="9">
        <f t="shared" si="12"/>
        <v>293</v>
      </c>
      <c r="H137" s="86">
        <v>390</v>
      </c>
      <c r="I137" s="9">
        <f>IF(H137&gt;0,ROUND(E137/H137*100,1),0)</f>
        <v>75.099999999999994</v>
      </c>
      <c r="K137" t="s">
        <v>170</v>
      </c>
      <c r="L137" t="s">
        <v>170</v>
      </c>
      <c r="M137" t="s">
        <v>176</v>
      </c>
    </row>
    <row r="138" spans="1:13" ht="15.75">
      <c r="A138" s="2"/>
      <c r="B138" s="12" t="s">
        <v>177</v>
      </c>
      <c r="C138" s="17" t="s">
        <v>37</v>
      </c>
      <c r="D138" s="91"/>
      <c r="E138" s="14">
        <v>482245</v>
      </c>
      <c r="F138" s="9"/>
      <c r="G138" s="9">
        <f t="shared" si="12"/>
        <v>482245</v>
      </c>
      <c r="H138" s="86">
        <v>587115</v>
      </c>
      <c r="I138" s="9">
        <f>IF(H138&gt;0,ROUND(E138/H138*100,1),0)</f>
        <v>82.1</v>
      </c>
      <c r="K138" t="s">
        <v>170</v>
      </c>
      <c r="L138" t="s">
        <v>170</v>
      </c>
      <c r="M138" t="s">
        <v>178</v>
      </c>
    </row>
    <row r="139" spans="1:13" ht="15.75">
      <c r="A139" s="2"/>
      <c r="B139" s="2" t="s">
        <v>52</v>
      </c>
      <c r="C139" s="17" t="s">
        <v>37</v>
      </c>
      <c r="D139" s="91"/>
      <c r="E139" s="14"/>
      <c r="F139" s="9"/>
      <c r="G139" s="9">
        <f t="shared" si="12"/>
        <v>0</v>
      </c>
      <c r="H139" s="86"/>
      <c r="I139" s="9"/>
      <c r="K139" t="s">
        <v>170</v>
      </c>
      <c r="L139" t="s">
        <v>170</v>
      </c>
    </row>
    <row r="140" spans="1:13" ht="20.25" customHeight="1">
      <c r="A140" s="145"/>
      <c r="B140" s="146" t="s">
        <v>179</v>
      </c>
      <c r="C140" s="17" t="s">
        <v>37</v>
      </c>
      <c r="D140" s="147"/>
      <c r="E140" s="148">
        <v>224792</v>
      </c>
      <c r="F140" s="9"/>
      <c r="G140" s="149">
        <f t="shared" si="12"/>
        <v>224792</v>
      </c>
      <c r="H140" s="86">
        <v>198715</v>
      </c>
      <c r="I140" s="9">
        <f>IF(H140&gt;0,ROUND(E140/H140*100,1),0)</f>
        <v>113.1</v>
      </c>
      <c r="K140" t="s">
        <v>170</v>
      </c>
      <c r="L140" t="s">
        <v>170</v>
      </c>
      <c r="M140" t="s">
        <v>180</v>
      </c>
    </row>
    <row r="141" spans="1:13" ht="15.75">
      <c r="A141" s="2"/>
      <c r="B141" s="2" t="s">
        <v>163</v>
      </c>
      <c r="C141" s="17" t="s">
        <v>37</v>
      </c>
      <c r="D141" s="91"/>
      <c r="E141" s="14"/>
      <c r="F141" s="9"/>
      <c r="G141" s="9">
        <f t="shared" si="12"/>
        <v>0</v>
      </c>
      <c r="H141" s="86"/>
      <c r="I141" s="9"/>
      <c r="K141" t="s">
        <v>170</v>
      </c>
      <c r="L141" t="s">
        <v>170</v>
      </c>
    </row>
    <row r="142" spans="1:13" ht="20.25" customHeight="1">
      <c r="A142" s="2"/>
      <c r="B142" s="119" t="s">
        <v>181</v>
      </c>
      <c r="C142" s="17" t="s">
        <v>37</v>
      </c>
      <c r="D142" s="91"/>
      <c r="E142" s="14">
        <v>90545</v>
      </c>
      <c r="F142" s="9"/>
      <c r="G142" s="9">
        <f t="shared" si="12"/>
        <v>90545</v>
      </c>
      <c r="H142" s="86">
        <v>78082</v>
      </c>
      <c r="I142" s="9">
        <f>IF(H142&gt;0,ROUND(E142/H142*100,1),0)</f>
        <v>116</v>
      </c>
      <c r="K142" t="s">
        <v>170</v>
      </c>
      <c r="L142" t="s">
        <v>170</v>
      </c>
      <c r="M142" t="s">
        <v>182</v>
      </c>
    </row>
    <row r="143" spans="1:13" ht="15.75">
      <c r="A143" s="2"/>
      <c r="B143" s="119" t="s">
        <v>183</v>
      </c>
      <c r="C143" s="17" t="s">
        <v>37</v>
      </c>
      <c r="D143" s="91"/>
      <c r="E143" s="14">
        <v>127304</v>
      </c>
      <c r="F143" s="9"/>
      <c r="G143" s="9">
        <f t="shared" si="12"/>
        <v>127304</v>
      </c>
      <c r="H143" s="86">
        <v>117353</v>
      </c>
      <c r="I143" s="9">
        <f>IF(H143&gt;0,ROUND(E143/H143*100,1),0)</f>
        <v>108.5</v>
      </c>
      <c r="K143" t="s">
        <v>170</v>
      </c>
      <c r="L143" t="s">
        <v>170</v>
      </c>
      <c r="M143" t="s">
        <v>184</v>
      </c>
    </row>
    <row r="144" spans="1:13" ht="15.75">
      <c r="A144" s="2"/>
      <c r="B144" s="146" t="s">
        <v>185</v>
      </c>
      <c r="C144" s="17" t="s">
        <v>37</v>
      </c>
      <c r="D144" s="91"/>
      <c r="E144" s="14">
        <v>1671</v>
      </c>
      <c r="F144" s="9"/>
      <c r="G144" s="9">
        <f t="shared" si="12"/>
        <v>1671</v>
      </c>
      <c r="H144" s="86">
        <v>3469</v>
      </c>
      <c r="I144" s="9">
        <f>IF(H144&gt;0,ROUND(E144/H144*100,1),0)</f>
        <v>48.2</v>
      </c>
      <c r="K144" t="s">
        <v>170</v>
      </c>
      <c r="L144" t="s">
        <v>170</v>
      </c>
      <c r="M144" t="s">
        <v>186</v>
      </c>
    </row>
    <row r="145" spans="1:12" ht="18" customHeight="1">
      <c r="A145" s="2"/>
      <c r="B145" s="2" t="s">
        <v>163</v>
      </c>
      <c r="C145" s="17" t="s">
        <v>37</v>
      </c>
      <c r="D145" s="91"/>
      <c r="E145" s="14"/>
      <c r="F145" s="9"/>
      <c r="G145" s="9">
        <f t="shared" si="12"/>
        <v>0</v>
      </c>
      <c r="H145" s="86"/>
      <c r="I145" s="9"/>
      <c r="K145" t="s">
        <v>170</v>
      </c>
      <c r="L145" t="s">
        <v>170</v>
      </c>
    </row>
    <row r="146" spans="1:12" ht="15.75">
      <c r="A146" s="2"/>
      <c r="B146" s="138" t="s">
        <v>187</v>
      </c>
      <c r="C146" s="17" t="s">
        <v>37</v>
      </c>
      <c r="D146" s="91"/>
      <c r="E146" s="14"/>
      <c r="F146" s="9"/>
      <c r="G146" s="9">
        <f t="shared" si="12"/>
        <v>0</v>
      </c>
      <c r="H146" s="86">
        <v>101</v>
      </c>
      <c r="I146" s="9">
        <f>IF(H146&gt;0,ROUND(E146/H146*100,1),0)</f>
        <v>0</v>
      </c>
      <c r="K146" t="s">
        <v>170</v>
      </c>
    </row>
    <row r="147" spans="1:12" ht="18.75" hidden="1" customHeight="1" outlineLevel="1">
      <c r="A147" s="2" t="s">
        <v>188</v>
      </c>
      <c r="B147" s="12" t="s">
        <v>189</v>
      </c>
      <c r="C147" s="17" t="s">
        <v>37</v>
      </c>
      <c r="D147" s="91"/>
      <c r="E147" s="14"/>
      <c r="F147" s="9"/>
      <c r="G147" s="9">
        <f t="shared" si="12"/>
        <v>0</v>
      </c>
      <c r="H147" s="86"/>
      <c r="I147" s="9">
        <f>IF(H147&gt;0,ROUND(E147/H147*100,1),0)</f>
        <v>0</v>
      </c>
      <c r="K147" t="s">
        <v>170</v>
      </c>
    </row>
    <row r="148" spans="1:12" ht="15.75" collapsed="1">
      <c r="A148" s="2" t="s">
        <v>213</v>
      </c>
      <c r="B148" s="12" t="s">
        <v>190</v>
      </c>
      <c r="C148" s="17" t="s">
        <v>37</v>
      </c>
      <c r="D148" s="91"/>
      <c r="E148" s="14">
        <v>71113</v>
      </c>
      <c r="F148" s="9"/>
      <c r="G148" s="9"/>
      <c r="H148" s="86">
        <v>198205</v>
      </c>
      <c r="I148" s="9">
        <f>ROUND(E148/H148*100,1)</f>
        <v>35.9</v>
      </c>
      <c r="K148" t="s">
        <v>170</v>
      </c>
      <c r="L148" t="s">
        <v>191</v>
      </c>
    </row>
    <row r="149" spans="1:12" ht="15.75" hidden="1" outlineLevel="1">
      <c r="A149" s="2"/>
      <c r="B149" s="2" t="s">
        <v>12</v>
      </c>
      <c r="C149" s="17" t="s">
        <v>37</v>
      </c>
      <c r="D149" s="91"/>
      <c r="E149" s="14"/>
      <c r="F149" s="9"/>
      <c r="G149" s="9"/>
      <c r="H149" s="86"/>
      <c r="I149" s="9"/>
      <c r="K149" t="s">
        <v>170</v>
      </c>
    </row>
    <row r="150" spans="1:12" ht="15.75" hidden="1" outlineLevel="1">
      <c r="A150" s="2"/>
      <c r="B150" s="12" t="s">
        <v>192</v>
      </c>
      <c r="C150" s="17" t="s">
        <v>37</v>
      </c>
      <c r="D150" s="91"/>
      <c r="E150" s="14"/>
      <c r="F150" s="9"/>
      <c r="G150" s="9"/>
      <c r="H150" s="86"/>
      <c r="I150" s="9"/>
      <c r="K150" t="s">
        <v>170</v>
      </c>
    </row>
    <row r="151" spans="1:12" ht="15.75" hidden="1" outlineLevel="1">
      <c r="A151" s="2"/>
      <c r="B151" s="12" t="s">
        <v>193</v>
      </c>
      <c r="C151" s="17" t="s">
        <v>37</v>
      </c>
      <c r="D151" s="91"/>
      <c r="E151" s="14"/>
      <c r="F151" s="9"/>
      <c r="G151" s="9"/>
      <c r="H151" s="86"/>
      <c r="I151" s="9" t="e">
        <f>ROUND(E151/H151*100,1)</f>
        <v>#DIV/0!</v>
      </c>
      <c r="K151" t="s">
        <v>170</v>
      </c>
    </row>
    <row r="152" spans="1:12" ht="15.75" collapsed="1">
      <c r="A152" s="2" t="s">
        <v>214</v>
      </c>
      <c r="B152" s="12" t="s">
        <v>194</v>
      </c>
      <c r="C152" s="17" t="s">
        <v>37</v>
      </c>
      <c r="D152" s="91"/>
      <c r="E152" s="14">
        <v>198879</v>
      </c>
      <c r="F152" s="9"/>
      <c r="G152" s="9"/>
      <c r="H152" s="86">
        <v>232192</v>
      </c>
      <c r="I152" s="9">
        <f>ROUND(E152/H152*100,1)</f>
        <v>85.7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40"/>
      <c r="E153" s="40"/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40"/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40"/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40"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40"/>
      <c r="F159" s="40"/>
      <c r="G159" s="40"/>
      <c r="H159" s="41"/>
      <c r="I159" s="40" t="e">
        <f>ROUND(E159/H159*100,1)</f>
        <v>#DIV/0!</v>
      </c>
    </row>
    <row r="160" spans="1:12" ht="68.25" customHeight="1" collapsed="1">
      <c r="E160" s="11"/>
      <c r="H160" s="44"/>
    </row>
    <row r="161" spans="1:9" ht="37.5">
      <c r="A161" s="32"/>
      <c r="B161" s="45" t="s">
        <v>221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>
      <c r="A165" s="32"/>
      <c r="B165" s="46" t="s">
        <v>206</v>
      </c>
      <c r="C165" s="46"/>
      <c r="D165" s="46"/>
      <c r="E165" s="46"/>
      <c r="F165" s="48"/>
      <c r="G165" s="46" t="s">
        <v>220</v>
      </c>
      <c r="H165" s="46"/>
      <c r="I165" s="48"/>
    </row>
    <row r="166" spans="1:9" ht="18.75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>
      <c r="A167" s="32"/>
      <c r="B167" s="46" t="s">
        <v>215</v>
      </c>
      <c r="C167" s="46"/>
      <c r="D167" s="46"/>
      <c r="E167" s="46"/>
      <c r="F167" s="48"/>
      <c r="G167" s="46" t="s">
        <v>216</v>
      </c>
      <c r="H167" s="46"/>
      <c r="I167" s="48"/>
    </row>
    <row r="168" spans="1:9" ht="18.75">
      <c r="A168" s="32"/>
      <c r="B168" s="46"/>
      <c r="C168" s="46"/>
      <c r="D168" s="46"/>
      <c r="E168" s="46"/>
      <c r="F168" s="48"/>
      <c r="G168" s="46"/>
      <c r="H168" s="46"/>
      <c r="I168" s="48"/>
    </row>
    <row r="169" spans="1:9" ht="18.75">
      <c r="A169" s="32"/>
      <c r="B169" s="46"/>
      <c r="C169" s="46"/>
      <c r="D169" s="46"/>
      <c r="E169" s="46"/>
      <c r="F169" s="48"/>
      <c r="G169" s="46"/>
      <c r="H169" s="46"/>
      <c r="I169" s="48"/>
    </row>
    <row r="170" spans="1:9" ht="15.75">
      <c r="B170" s="49"/>
      <c r="C170" s="49"/>
      <c r="D170" s="49"/>
      <c r="E170" s="49"/>
      <c r="G170" s="49"/>
    </row>
    <row r="171" spans="1:9" ht="18.75">
      <c r="B171" s="46"/>
      <c r="C171" s="49"/>
      <c r="D171" s="49"/>
      <c r="E171" s="49"/>
      <c r="G171" s="49"/>
    </row>
    <row r="172" spans="1:9" ht="15.75">
      <c r="B172" s="49"/>
      <c r="C172" s="49"/>
      <c r="D172" s="49"/>
      <c r="E172" s="49"/>
      <c r="G172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.19685039370078741" top="0.51181102362204722" bottom="0.15748031496062992" header="0.15748031496062992" footer="0.11811023622047245"/>
  <pageSetup paperSize="9" scale="70" orientation="portrait" blackAndWhite="1" r:id="rId1"/>
  <headerFooter alignWithMargins="0"/>
  <rowBreaks count="1" manualBreakCount="1">
    <brk id="92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2"/>
  <sheetViews>
    <sheetView showZeros="0" view="pageBreakPreview" topLeftCell="B1" zoomScale="90" zoomScaleNormal="100" zoomScaleSheetLayoutView="90" workbookViewId="0">
      <pane xSplit="1" topLeftCell="C1" activePane="topRight" state="frozen"/>
      <selection activeCell="B1" sqref="B1"/>
      <selection pane="topRight" activeCell="R16" sqref="R16"/>
    </sheetView>
  </sheetViews>
  <sheetFormatPr defaultRowHeight="12.75" outlineLevelRow="1" outlineLevelCol="1"/>
  <cols>
    <col min="1" max="1" width="3.85546875" hidden="1" customWidth="1" outlineLevel="1"/>
    <col min="2" max="2" width="59.140625" customWidth="1" collapsed="1"/>
    <col min="3" max="3" width="10" customWidth="1"/>
    <col min="4" max="4" width="11.85546875" customWidth="1"/>
    <col min="5" max="5" width="12.42578125" customWidth="1"/>
    <col min="6" max="6" width="12.140625" customWidth="1"/>
    <col min="7" max="7" width="12" customWidth="1"/>
    <col min="8" max="8" width="12.42578125" customWidth="1"/>
    <col min="9" max="9" width="12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3" width="9.140625" hidden="1" customWidth="1" outlineLevel="1"/>
    <col min="14" max="14" width="1" hidden="1" customWidth="1" outlineLevel="1"/>
    <col min="15" max="15" width="9.140625" collapsed="1"/>
    <col min="257" max="257" width="3.85546875" bestFit="1" customWidth="1"/>
    <col min="258" max="258" width="61.5703125" customWidth="1"/>
    <col min="259" max="259" width="10" customWidth="1"/>
    <col min="260" max="260" width="11.85546875" customWidth="1"/>
    <col min="261" max="261" width="12.42578125" customWidth="1"/>
    <col min="262" max="262" width="9.7109375" customWidth="1"/>
    <col min="263" max="263" width="12" customWidth="1"/>
    <col min="264" max="264" width="13.28515625" customWidth="1"/>
    <col min="265" max="265" width="11.140625" customWidth="1"/>
    <col min="266" max="270" width="0" hidden="1" customWidth="1"/>
    <col min="513" max="513" width="3.85546875" bestFit="1" customWidth="1"/>
    <col min="514" max="514" width="61.5703125" customWidth="1"/>
    <col min="515" max="515" width="10" customWidth="1"/>
    <col min="516" max="516" width="11.85546875" customWidth="1"/>
    <col min="517" max="517" width="12.42578125" customWidth="1"/>
    <col min="518" max="518" width="9.7109375" customWidth="1"/>
    <col min="519" max="519" width="12" customWidth="1"/>
    <col min="520" max="520" width="13.28515625" customWidth="1"/>
    <col min="521" max="521" width="11.140625" customWidth="1"/>
    <col min="522" max="526" width="0" hidden="1" customWidth="1"/>
    <col min="769" max="769" width="3.85546875" bestFit="1" customWidth="1"/>
    <col min="770" max="770" width="61.5703125" customWidth="1"/>
    <col min="771" max="771" width="10" customWidth="1"/>
    <col min="772" max="772" width="11.85546875" customWidth="1"/>
    <col min="773" max="773" width="12.42578125" customWidth="1"/>
    <col min="774" max="774" width="9.7109375" customWidth="1"/>
    <col min="775" max="775" width="12" customWidth="1"/>
    <col min="776" max="776" width="13.28515625" customWidth="1"/>
    <col min="777" max="777" width="11.140625" customWidth="1"/>
    <col min="778" max="782" width="0" hidden="1" customWidth="1"/>
    <col min="1025" max="1025" width="3.85546875" bestFit="1" customWidth="1"/>
    <col min="1026" max="1026" width="61.5703125" customWidth="1"/>
    <col min="1027" max="1027" width="10" customWidth="1"/>
    <col min="1028" max="1028" width="11.85546875" customWidth="1"/>
    <col min="1029" max="1029" width="12.42578125" customWidth="1"/>
    <col min="1030" max="1030" width="9.7109375" customWidth="1"/>
    <col min="1031" max="1031" width="12" customWidth="1"/>
    <col min="1032" max="1032" width="13.28515625" customWidth="1"/>
    <col min="1033" max="1033" width="11.140625" customWidth="1"/>
    <col min="1034" max="1038" width="0" hidden="1" customWidth="1"/>
    <col min="1281" max="1281" width="3.85546875" bestFit="1" customWidth="1"/>
    <col min="1282" max="1282" width="61.5703125" customWidth="1"/>
    <col min="1283" max="1283" width="10" customWidth="1"/>
    <col min="1284" max="1284" width="11.85546875" customWidth="1"/>
    <col min="1285" max="1285" width="12.42578125" customWidth="1"/>
    <col min="1286" max="1286" width="9.7109375" customWidth="1"/>
    <col min="1287" max="1287" width="12" customWidth="1"/>
    <col min="1288" max="1288" width="13.28515625" customWidth="1"/>
    <col min="1289" max="1289" width="11.140625" customWidth="1"/>
    <col min="1290" max="1294" width="0" hidden="1" customWidth="1"/>
    <col min="1537" max="1537" width="3.85546875" bestFit="1" customWidth="1"/>
    <col min="1538" max="1538" width="61.5703125" customWidth="1"/>
    <col min="1539" max="1539" width="10" customWidth="1"/>
    <col min="1540" max="1540" width="11.85546875" customWidth="1"/>
    <col min="1541" max="1541" width="12.42578125" customWidth="1"/>
    <col min="1542" max="1542" width="9.7109375" customWidth="1"/>
    <col min="1543" max="1543" width="12" customWidth="1"/>
    <col min="1544" max="1544" width="13.28515625" customWidth="1"/>
    <col min="1545" max="1545" width="11.140625" customWidth="1"/>
    <col min="1546" max="1550" width="0" hidden="1" customWidth="1"/>
    <col min="1793" max="1793" width="3.85546875" bestFit="1" customWidth="1"/>
    <col min="1794" max="1794" width="61.5703125" customWidth="1"/>
    <col min="1795" max="1795" width="10" customWidth="1"/>
    <col min="1796" max="1796" width="11.85546875" customWidth="1"/>
    <col min="1797" max="1797" width="12.42578125" customWidth="1"/>
    <col min="1798" max="1798" width="9.7109375" customWidth="1"/>
    <col min="1799" max="1799" width="12" customWidth="1"/>
    <col min="1800" max="1800" width="13.28515625" customWidth="1"/>
    <col min="1801" max="1801" width="11.140625" customWidth="1"/>
    <col min="1802" max="1806" width="0" hidden="1" customWidth="1"/>
    <col min="2049" max="2049" width="3.85546875" bestFit="1" customWidth="1"/>
    <col min="2050" max="2050" width="61.5703125" customWidth="1"/>
    <col min="2051" max="2051" width="10" customWidth="1"/>
    <col min="2052" max="2052" width="11.85546875" customWidth="1"/>
    <col min="2053" max="2053" width="12.42578125" customWidth="1"/>
    <col min="2054" max="2054" width="9.7109375" customWidth="1"/>
    <col min="2055" max="2055" width="12" customWidth="1"/>
    <col min="2056" max="2056" width="13.28515625" customWidth="1"/>
    <col min="2057" max="2057" width="11.140625" customWidth="1"/>
    <col min="2058" max="2062" width="0" hidden="1" customWidth="1"/>
    <col min="2305" max="2305" width="3.85546875" bestFit="1" customWidth="1"/>
    <col min="2306" max="2306" width="61.5703125" customWidth="1"/>
    <col min="2307" max="2307" width="10" customWidth="1"/>
    <col min="2308" max="2308" width="11.85546875" customWidth="1"/>
    <col min="2309" max="2309" width="12.42578125" customWidth="1"/>
    <col min="2310" max="2310" width="9.7109375" customWidth="1"/>
    <col min="2311" max="2311" width="12" customWidth="1"/>
    <col min="2312" max="2312" width="13.28515625" customWidth="1"/>
    <col min="2313" max="2313" width="11.140625" customWidth="1"/>
    <col min="2314" max="2318" width="0" hidden="1" customWidth="1"/>
    <col min="2561" max="2561" width="3.85546875" bestFit="1" customWidth="1"/>
    <col min="2562" max="2562" width="61.5703125" customWidth="1"/>
    <col min="2563" max="2563" width="10" customWidth="1"/>
    <col min="2564" max="2564" width="11.85546875" customWidth="1"/>
    <col min="2565" max="2565" width="12.42578125" customWidth="1"/>
    <col min="2566" max="2566" width="9.7109375" customWidth="1"/>
    <col min="2567" max="2567" width="12" customWidth="1"/>
    <col min="2568" max="2568" width="13.28515625" customWidth="1"/>
    <col min="2569" max="2569" width="11.140625" customWidth="1"/>
    <col min="2570" max="2574" width="0" hidden="1" customWidth="1"/>
    <col min="2817" max="2817" width="3.85546875" bestFit="1" customWidth="1"/>
    <col min="2818" max="2818" width="61.5703125" customWidth="1"/>
    <col min="2819" max="2819" width="10" customWidth="1"/>
    <col min="2820" max="2820" width="11.85546875" customWidth="1"/>
    <col min="2821" max="2821" width="12.42578125" customWidth="1"/>
    <col min="2822" max="2822" width="9.7109375" customWidth="1"/>
    <col min="2823" max="2823" width="12" customWidth="1"/>
    <col min="2824" max="2824" width="13.28515625" customWidth="1"/>
    <col min="2825" max="2825" width="11.140625" customWidth="1"/>
    <col min="2826" max="2830" width="0" hidden="1" customWidth="1"/>
    <col min="3073" max="3073" width="3.85546875" bestFit="1" customWidth="1"/>
    <col min="3074" max="3074" width="61.5703125" customWidth="1"/>
    <col min="3075" max="3075" width="10" customWidth="1"/>
    <col min="3076" max="3076" width="11.85546875" customWidth="1"/>
    <col min="3077" max="3077" width="12.42578125" customWidth="1"/>
    <col min="3078" max="3078" width="9.7109375" customWidth="1"/>
    <col min="3079" max="3079" width="12" customWidth="1"/>
    <col min="3080" max="3080" width="13.28515625" customWidth="1"/>
    <col min="3081" max="3081" width="11.140625" customWidth="1"/>
    <col min="3082" max="3086" width="0" hidden="1" customWidth="1"/>
    <col min="3329" max="3329" width="3.85546875" bestFit="1" customWidth="1"/>
    <col min="3330" max="3330" width="61.5703125" customWidth="1"/>
    <col min="3331" max="3331" width="10" customWidth="1"/>
    <col min="3332" max="3332" width="11.85546875" customWidth="1"/>
    <col min="3333" max="3333" width="12.42578125" customWidth="1"/>
    <col min="3334" max="3334" width="9.7109375" customWidth="1"/>
    <col min="3335" max="3335" width="12" customWidth="1"/>
    <col min="3336" max="3336" width="13.28515625" customWidth="1"/>
    <col min="3337" max="3337" width="11.140625" customWidth="1"/>
    <col min="3338" max="3342" width="0" hidden="1" customWidth="1"/>
    <col min="3585" max="3585" width="3.85546875" bestFit="1" customWidth="1"/>
    <col min="3586" max="3586" width="61.5703125" customWidth="1"/>
    <col min="3587" max="3587" width="10" customWidth="1"/>
    <col min="3588" max="3588" width="11.85546875" customWidth="1"/>
    <col min="3589" max="3589" width="12.42578125" customWidth="1"/>
    <col min="3590" max="3590" width="9.7109375" customWidth="1"/>
    <col min="3591" max="3591" width="12" customWidth="1"/>
    <col min="3592" max="3592" width="13.28515625" customWidth="1"/>
    <col min="3593" max="3593" width="11.140625" customWidth="1"/>
    <col min="3594" max="3598" width="0" hidden="1" customWidth="1"/>
    <col min="3841" max="3841" width="3.85546875" bestFit="1" customWidth="1"/>
    <col min="3842" max="3842" width="61.5703125" customWidth="1"/>
    <col min="3843" max="3843" width="10" customWidth="1"/>
    <col min="3844" max="3844" width="11.85546875" customWidth="1"/>
    <col min="3845" max="3845" width="12.42578125" customWidth="1"/>
    <col min="3846" max="3846" width="9.7109375" customWidth="1"/>
    <col min="3847" max="3847" width="12" customWidth="1"/>
    <col min="3848" max="3848" width="13.28515625" customWidth="1"/>
    <col min="3849" max="3849" width="11.140625" customWidth="1"/>
    <col min="3850" max="3854" width="0" hidden="1" customWidth="1"/>
    <col min="4097" max="4097" width="3.85546875" bestFit="1" customWidth="1"/>
    <col min="4098" max="4098" width="61.5703125" customWidth="1"/>
    <col min="4099" max="4099" width="10" customWidth="1"/>
    <col min="4100" max="4100" width="11.85546875" customWidth="1"/>
    <col min="4101" max="4101" width="12.42578125" customWidth="1"/>
    <col min="4102" max="4102" width="9.7109375" customWidth="1"/>
    <col min="4103" max="4103" width="12" customWidth="1"/>
    <col min="4104" max="4104" width="13.28515625" customWidth="1"/>
    <col min="4105" max="4105" width="11.140625" customWidth="1"/>
    <col min="4106" max="4110" width="0" hidden="1" customWidth="1"/>
    <col min="4353" max="4353" width="3.85546875" bestFit="1" customWidth="1"/>
    <col min="4354" max="4354" width="61.5703125" customWidth="1"/>
    <col min="4355" max="4355" width="10" customWidth="1"/>
    <col min="4356" max="4356" width="11.85546875" customWidth="1"/>
    <col min="4357" max="4357" width="12.42578125" customWidth="1"/>
    <col min="4358" max="4358" width="9.7109375" customWidth="1"/>
    <col min="4359" max="4359" width="12" customWidth="1"/>
    <col min="4360" max="4360" width="13.28515625" customWidth="1"/>
    <col min="4361" max="4361" width="11.140625" customWidth="1"/>
    <col min="4362" max="4366" width="0" hidden="1" customWidth="1"/>
    <col min="4609" max="4609" width="3.85546875" bestFit="1" customWidth="1"/>
    <col min="4610" max="4610" width="61.5703125" customWidth="1"/>
    <col min="4611" max="4611" width="10" customWidth="1"/>
    <col min="4612" max="4612" width="11.85546875" customWidth="1"/>
    <col min="4613" max="4613" width="12.42578125" customWidth="1"/>
    <col min="4614" max="4614" width="9.7109375" customWidth="1"/>
    <col min="4615" max="4615" width="12" customWidth="1"/>
    <col min="4616" max="4616" width="13.28515625" customWidth="1"/>
    <col min="4617" max="4617" width="11.140625" customWidth="1"/>
    <col min="4618" max="4622" width="0" hidden="1" customWidth="1"/>
    <col min="4865" max="4865" width="3.85546875" bestFit="1" customWidth="1"/>
    <col min="4866" max="4866" width="61.5703125" customWidth="1"/>
    <col min="4867" max="4867" width="10" customWidth="1"/>
    <col min="4868" max="4868" width="11.85546875" customWidth="1"/>
    <col min="4869" max="4869" width="12.42578125" customWidth="1"/>
    <col min="4870" max="4870" width="9.7109375" customWidth="1"/>
    <col min="4871" max="4871" width="12" customWidth="1"/>
    <col min="4872" max="4872" width="13.28515625" customWidth="1"/>
    <col min="4873" max="4873" width="11.140625" customWidth="1"/>
    <col min="4874" max="4878" width="0" hidden="1" customWidth="1"/>
    <col min="5121" max="5121" width="3.85546875" bestFit="1" customWidth="1"/>
    <col min="5122" max="5122" width="61.5703125" customWidth="1"/>
    <col min="5123" max="5123" width="10" customWidth="1"/>
    <col min="5124" max="5124" width="11.85546875" customWidth="1"/>
    <col min="5125" max="5125" width="12.42578125" customWidth="1"/>
    <col min="5126" max="5126" width="9.7109375" customWidth="1"/>
    <col min="5127" max="5127" width="12" customWidth="1"/>
    <col min="5128" max="5128" width="13.28515625" customWidth="1"/>
    <col min="5129" max="5129" width="11.140625" customWidth="1"/>
    <col min="5130" max="5134" width="0" hidden="1" customWidth="1"/>
    <col min="5377" max="5377" width="3.85546875" bestFit="1" customWidth="1"/>
    <col min="5378" max="5378" width="61.5703125" customWidth="1"/>
    <col min="5379" max="5379" width="10" customWidth="1"/>
    <col min="5380" max="5380" width="11.85546875" customWidth="1"/>
    <col min="5381" max="5381" width="12.42578125" customWidth="1"/>
    <col min="5382" max="5382" width="9.7109375" customWidth="1"/>
    <col min="5383" max="5383" width="12" customWidth="1"/>
    <col min="5384" max="5384" width="13.28515625" customWidth="1"/>
    <col min="5385" max="5385" width="11.140625" customWidth="1"/>
    <col min="5386" max="5390" width="0" hidden="1" customWidth="1"/>
    <col min="5633" max="5633" width="3.85546875" bestFit="1" customWidth="1"/>
    <col min="5634" max="5634" width="61.5703125" customWidth="1"/>
    <col min="5635" max="5635" width="10" customWidth="1"/>
    <col min="5636" max="5636" width="11.85546875" customWidth="1"/>
    <col min="5637" max="5637" width="12.42578125" customWidth="1"/>
    <col min="5638" max="5638" width="9.7109375" customWidth="1"/>
    <col min="5639" max="5639" width="12" customWidth="1"/>
    <col min="5640" max="5640" width="13.28515625" customWidth="1"/>
    <col min="5641" max="5641" width="11.140625" customWidth="1"/>
    <col min="5642" max="5646" width="0" hidden="1" customWidth="1"/>
    <col min="5889" max="5889" width="3.85546875" bestFit="1" customWidth="1"/>
    <col min="5890" max="5890" width="61.5703125" customWidth="1"/>
    <col min="5891" max="5891" width="10" customWidth="1"/>
    <col min="5892" max="5892" width="11.85546875" customWidth="1"/>
    <col min="5893" max="5893" width="12.42578125" customWidth="1"/>
    <col min="5894" max="5894" width="9.7109375" customWidth="1"/>
    <col min="5895" max="5895" width="12" customWidth="1"/>
    <col min="5896" max="5896" width="13.28515625" customWidth="1"/>
    <col min="5897" max="5897" width="11.140625" customWidth="1"/>
    <col min="5898" max="5902" width="0" hidden="1" customWidth="1"/>
    <col min="6145" max="6145" width="3.85546875" bestFit="1" customWidth="1"/>
    <col min="6146" max="6146" width="61.5703125" customWidth="1"/>
    <col min="6147" max="6147" width="10" customWidth="1"/>
    <col min="6148" max="6148" width="11.85546875" customWidth="1"/>
    <col min="6149" max="6149" width="12.42578125" customWidth="1"/>
    <col min="6150" max="6150" width="9.7109375" customWidth="1"/>
    <col min="6151" max="6151" width="12" customWidth="1"/>
    <col min="6152" max="6152" width="13.28515625" customWidth="1"/>
    <col min="6153" max="6153" width="11.140625" customWidth="1"/>
    <col min="6154" max="6158" width="0" hidden="1" customWidth="1"/>
    <col min="6401" max="6401" width="3.85546875" bestFit="1" customWidth="1"/>
    <col min="6402" max="6402" width="61.5703125" customWidth="1"/>
    <col min="6403" max="6403" width="10" customWidth="1"/>
    <col min="6404" max="6404" width="11.85546875" customWidth="1"/>
    <col min="6405" max="6405" width="12.42578125" customWidth="1"/>
    <col min="6406" max="6406" width="9.7109375" customWidth="1"/>
    <col min="6407" max="6407" width="12" customWidth="1"/>
    <col min="6408" max="6408" width="13.28515625" customWidth="1"/>
    <col min="6409" max="6409" width="11.140625" customWidth="1"/>
    <col min="6410" max="6414" width="0" hidden="1" customWidth="1"/>
    <col min="6657" max="6657" width="3.85546875" bestFit="1" customWidth="1"/>
    <col min="6658" max="6658" width="61.5703125" customWidth="1"/>
    <col min="6659" max="6659" width="10" customWidth="1"/>
    <col min="6660" max="6660" width="11.85546875" customWidth="1"/>
    <col min="6661" max="6661" width="12.42578125" customWidth="1"/>
    <col min="6662" max="6662" width="9.7109375" customWidth="1"/>
    <col min="6663" max="6663" width="12" customWidth="1"/>
    <col min="6664" max="6664" width="13.28515625" customWidth="1"/>
    <col min="6665" max="6665" width="11.140625" customWidth="1"/>
    <col min="6666" max="6670" width="0" hidden="1" customWidth="1"/>
    <col min="6913" max="6913" width="3.85546875" bestFit="1" customWidth="1"/>
    <col min="6914" max="6914" width="61.5703125" customWidth="1"/>
    <col min="6915" max="6915" width="10" customWidth="1"/>
    <col min="6916" max="6916" width="11.85546875" customWidth="1"/>
    <col min="6917" max="6917" width="12.42578125" customWidth="1"/>
    <col min="6918" max="6918" width="9.7109375" customWidth="1"/>
    <col min="6919" max="6919" width="12" customWidth="1"/>
    <col min="6920" max="6920" width="13.28515625" customWidth="1"/>
    <col min="6921" max="6921" width="11.140625" customWidth="1"/>
    <col min="6922" max="6926" width="0" hidden="1" customWidth="1"/>
    <col min="7169" max="7169" width="3.85546875" bestFit="1" customWidth="1"/>
    <col min="7170" max="7170" width="61.5703125" customWidth="1"/>
    <col min="7171" max="7171" width="10" customWidth="1"/>
    <col min="7172" max="7172" width="11.85546875" customWidth="1"/>
    <col min="7173" max="7173" width="12.42578125" customWidth="1"/>
    <col min="7174" max="7174" width="9.7109375" customWidth="1"/>
    <col min="7175" max="7175" width="12" customWidth="1"/>
    <col min="7176" max="7176" width="13.28515625" customWidth="1"/>
    <col min="7177" max="7177" width="11.140625" customWidth="1"/>
    <col min="7178" max="7182" width="0" hidden="1" customWidth="1"/>
    <col min="7425" max="7425" width="3.85546875" bestFit="1" customWidth="1"/>
    <col min="7426" max="7426" width="61.5703125" customWidth="1"/>
    <col min="7427" max="7427" width="10" customWidth="1"/>
    <col min="7428" max="7428" width="11.85546875" customWidth="1"/>
    <col min="7429" max="7429" width="12.42578125" customWidth="1"/>
    <col min="7430" max="7430" width="9.7109375" customWidth="1"/>
    <col min="7431" max="7431" width="12" customWidth="1"/>
    <col min="7432" max="7432" width="13.28515625" customWidth="1"/>
    <col min="7433" max="7433" width="11.140625" customWidth="1"/>
    <col min="7434" max="7438" width="0" hidden="1" customWidth="1"/>
    <col min="7681" max="7681" width="3.85546875" bestFit="1" customWidth="1"/>
    <col min="7682" max="7682" width="61.5703125" customWidth="1"/>
    <col min="7683" max="7683" width="10" customWidth="1"/>
    <col min="7684" max="7684" width="11.85546875" customWidth="1"/>
    <col min="7685" max="7685" width="12.42578125" customWidth="1"/>
    <col min="7686" max="7686" width="9.7109375" customWidth="1"/>
    <col min="7687" max="7687" width="12" customWidth="1"/>
    <col min="7688" max="7688" width="13.28515625" customWidth="1"/>
    <col min="7689" max="7689" width="11.140625" customWidth="1"/>
    <col min="7690" max="7694" width="0" hidden="1" customWidth="1"/>
    <col min="7937" max="7937" width="3.85546875" bestFit="1" customWidth="1"/>
    <col min="7938" max="7938" width="61.5703125" customWidth="1"/>
    <col min="7939" max="7939" width="10" customWidth="1"/>
    <col min="7940" max="7940" width="11.85546875" customWidth="1"/>
    <col min="7941" max="7941" width="12.42578125" customWidth="1"/>
    <col min="7942" max="7942" width="9.7109375" customWidth="1"/>
    <col min="7943" max="7943" width="12" customWidth="1"/>
    <col min="7944" max="7944" width="13.28515625" customWidth="1"/>
    <col min="7945" max="7945" width="11.140625" customWidth="1"/>
    <col min="7946" max="7950" width="0" hidden="1" customWidth="1"/>
    <col min="8193" max="8193" width="3.85546875" bestFit="1" customWidth="1"/>
    <col min="8194" max="8194" width="61.5703125" customWidth="1"/>
    <col min="8195" max="8195" width="10" customWidth="1"/>
    <col min="8196" max="8196" width="11.85546875" customWidth="1"/>
    <col min="8197" max="8197" width="12.42578125" customWidth="1"/>
    <col min="8198" max="8198" width="9.7109375" customWidth="1"/>
    <col min="8199" max="8199" width="12" customWidth="1"/>
    <col min="8200" max="8200" width="13.28515625" customWidth="1"/>
    <col min="8201" max="8201" width="11.140625" customWidth="1"/>
    <col min="8202" max="8206" width="0" hidden="1" customWidth="1"/>
    <col min="8449" max="8449" width="3.85546875" bestFit="1" customWidth="1"/>
    <col min="8450" max="8450" width="61.5703125" customWidth="1"/>
    <col min="8451" max="8451" width="10" customWidth="1"/>
    <col min="8452" max="8452" width="11.85546875" customWidth="1"/>
    <col min="8453" max="8453" width="12.42578125" customWidth="1"/>
    <col min="8454" max="8454" width="9.7109375" customWidth="1"/>
    <col min="8455" max="8455" width="12" customWidth="1"/>
    <col min="8456" max="8456" width="13.28515625" customWidth="1"/>
    <col min="8457" max="8457" width="11.140625" customWidth="1"/>
    <col min="8458" max="8462" width="0" hidden="1" customWidth="1"/>
    <col min="8705" max="8705" width="3.85546875" bestFit="1" customWidth="1"/>
    <col min="8706" max="8706" width="61.5703125" customWidth="1"/>
    <col min="8707" max="8707" width="10" customWidth="1"/>
    <col min="8708" max="8708" width="11.85546875" customWidth="1"/>
    <col min="8709" max="8709" width="12.42578125" customWidth="1"/>
    <col min="8710" max="8710" width="9.7109375" customWidth="1"/>
    <col min="8711" max="8711" width="12" customWidth="1"/>
    <col min="8712" max="8712" width="13.28515625" customWidth="1"/>
    <col min="8713" max="8713" width="11.140625" customWidth="1"/>
    <col min="8714" max="8718" width="0" hidden="1" customWidth="1"/>
    <col min="8961" max="8961" width="3.85546875" bestFit="1" customWidth="1"/>
    <col min="8962" max="8962" width="61.5703125" customWidth="1"/>
    <col min="8963" max="8963" width="10" customWidth="1"/>
    <col min="8964" max="8964" width="11.85546875" customWidth="1"/>
    <col min="8965" max="8965" width="12.42578125" customWidth="1"/>
    <col min="8966" max="8966" width="9.7109375" customWidth="1"/>
    <col min="8967" max="8967" width="12" customWidth="1"/>
    <col min="8968" max="8968" width="13.28515625" customWidth="1"/>
    <col min="8969" max="8969" width="11.140625" customWidth="1"/>
    <col min="8970" max="8974" width="0" hidden="1" customWidth="1"/>
    <col min="9217" max="9217" width="3.85546875" bestFit="1" customWidth="1"/>
    <col min="9218" max="9218" width="61.5703125" customWidth="1"/>
    <col min="9219" max="9219" width="10" customWidth="1"/>
    <col min="9220" max="9220" width="11.85546875" customWidth="1"/>
    <col min="9221" max="9221" width="12.42578125" customWidth="1"/>
    <col min="9222" max="9222" width="9.7109375" customWidth="1"/>
    <col min="9223" max="9223" width="12" customWidth="1"/>
    <col min="9224" max="9224" width="13.28515625" customWidth="1"/>
    <col min="9225" max="9225" width="11.140625" customWidth="1"/>
    <col min="9226" max="9230" width="0" hidden="1" customWidth="1"/>
    <col min="9473" max="9473" width="3.85546875" bestFit="1" customWidth="1"/>
    <col min="9474" max="9474" width="61.5703125" customWidth="1"/>
    <col min="9475" max="9475" width="10" customWidth="1"/>
    <col min="9476" max="9476" width="11.85546875" customWidth="1"/>
    <col min="9477" max="9477" width="12.42578125" customWidth="1"/>
    <col min="9478" max="9478" width="9.7109375" customWidth="1"/>
    <col min="9479" max="9479" width="12" customWidth="1"/>
    <col min="9480" max="9480" width="13.28515625" customWidth="1"/>
    <col min="9481" max="9481" width="11.140625" customWidth="1"/>
    <col min="9482" max="9486" width="0" hidden="1" customWidth="1"/>
    <col min="9729" max="9729" width="3.85546875" bestFit="1" customWidth="1"/>
    <col min="9730" max="9730" width="61.5703125" customWidth="1"/>
    <col min="9731" max="9731" width="10" customWidth="1"/>
    <col min="9732" max="9732" width="11.85546875" customWidth="1"/>
    <col min="9733" max="9733" width="12.42578125" customWidth="1"/>
    <col min="9734" max="9734" width="9.7109375" customWidth="1"/>
    <col min="9735" max="9735" width="12" customWidth="1"/>
    <col min="9736" max="9736" width="13.28515625" customWidth="1"/>
    <col min="9737" max="9737" width="11.140625" customWidth="1"/>
    <col min="9738" max="9742" width="0" hidden="1" customWidth="1"/>
    <col min="9985" max="9985" width="3.85546875" bestFit="1" customWidth="1"/>
    <col min="9986" max="9986" width="61.5703125" customWidth="1"/>
    <col min="9987" max="9987" width="10" customWidth="1"/>
    <col min="9988" max="9988" width="11.85546875" customWidth="1"/>
    <col min="9989" max="9989" width="12.42578125" customWidth="1"/>
    <col min="9990" max="9990" width="9.7109375" customWidth="1"/>
    <col min="9991" max="9991" width="12" customWidth="1"/>
    <col min="9992" max="9992" width="13.28515625" customWidth="1"/>
    <col min="9993" max="9993" width="11.140625" customWidth="1"/>
    <col min="9994" max="9998" width="0" hidden="1" customWidth="1"/>
    <col min="10241" max="10241" width="3.85546875" bestFit="1" customWidth="1"/>
    <col min="10242" max="10242" width="61.5703125" customWidth="1"/>
    <col min="10243" max="10243" width="10" customWidth="1"/>
    <col min="10244" max="10244" width="11.85546875" customWidth="1"/>
    <col min="10245" max="10245" width="12.42578125" customWidth="1"/>
    <col min="10246" max="10246" width="9.7109375" customWidth="1"/>
    <col min="10247" max="10247" width="12" customWidth="1"/>
    <col min="10248" max="10248" width="13.28515625" customWidth="1"/>
    <col min="10249" max="10249" width="11.140625" customWidth="1"/>
    <col min="10250" max="10254" width="0" hidden="1" customWidth="1"/>
    <col min="10497" max="10497" width="3.85546875" bestFit="1" customWidth="1"/>
    <col min="10498" max="10498" width="61.5703125" customWidth="1"/>
    <col min="10499" max="10499" width="10" customWidth="1"/>
    <col min="10500" max="10500" width="11.85546875" customWidth="1"/>
    <col min="10501" max="10501" width="12.42578125" customWidth="1"/>
    <col min="10502" max="10502" width="9.7109375" customWidth="1"/>
    <col min="10503" max="10503" width="12" customWidth="1"/>
    <col min="10504" max="10504" width="13.28515625" customWidth="1"/>
    <col min="10505" max="10505" width="11.140625" customWidth="1"/>
    <col min="10506" max="10510" width="0" hidden="1" customWidth="1"/>
    <col min="10753" max="10753" width="3.85546875" bestFit="1" customWidth="1"/>
    <col min="10754" max="10754" width="61.5703125" customWidth="1"/>
    <col min="10755" max="10755" width="10" customWidth="1"/>
    <col min="10756" max="10756" width="11.85546875" customWidth="1"/>
    <col min="10757" max="10757" width="12.42578125" customWidth="1"/>
    <col min="10758" max="10758" width="9.7109375" customWidth="1"/>
    <col min="10759" max="10759" width="12" customWidth="1"/>
    <col min="10760" max="10760" width="13.28515625" customWidth="1"/>
    <col min="10761" max="10761" width="11.140625" customWidth="1"/>
    <col min="10762" max="10766" width="0" hidden="1" customWidth="1"/>
    <col min="11009" max="11009" width="3.85546875" bestFit="1" customWidth="1"/>
    <col min="11010" max="11010" width="61.5703125" customWidth="1"/>
    <col min="11011" max="11011" width="10" customWidth="1"/>
    <col min="11012" max="11012" width="11.85546875" customWidth="1"/>
    <col min="11013" max="11013" width="12.42578125" customWidth="1"/>
    <col min="11014" max="11014" width="9.7109375" customWidth="1"/>
    <col min="11015" max="11015" width="12" customWidth="1"/>
    <col min="11016" max="11016" width="13.28515625" customWidth="1"/>
    <col min="11017" max="11017" width="11.140625" customWidth="1"/>
    <col min="11018" max="11022" width="0" hidden="1" customWidth="1"/>
    <col min="11265" max="11265" width="3.85546875" bestFit="1" customWidth="1"/>
    <col min="11266" max="11266" width="61.5703125" customWidth="1"/>
    <col min="11267" max="11267" width="10" customWidth="1"/>
    <col min="11268" max="11268" width="11.85546875" customWidth="1"/>
    <col min="11269" max="11269" width="12.42578125" customWidth="1"/>
    <col min="11270" max="11270" width="9.7109375" customWidth="1"/>
    <col min="11271" max="11271" width="12" customWidth="1"/>
    <col min="11272" max="11272" width="13.28515625" customWidth="1"/>
    <col min="11273" max="11273" width="11.140625" customWidth="1"/>
    <col min="11274" max="11278" width="0" hidden="1" customWidth="1"/>
    <col min="11521" max="11521" width="3.85546875" bestFit="1" customWidth="1"/>
    <col min="11522" max="11522" width="61.5703125" customWidth="1"/>
    <col min="11523" max="11523" width="10" customWidth="1"/>
    <col min="11524" max="11524" width="11.85546875" customWidth="1"/>
    <col min="11525" max="11525" width="12.42578125" customWidth="1"/>
    <col min="11526" max="11526" width="9.7109375" customWidth="1"/>
    <col min="11527" max="11527" width="12" customWidth="1"/>
    <col min="11528" max="11528" width="13.28515625" customWidth="1"/>
    <col min="11529" max="11529" width="11.140625" customWidth="1"/>
    <col min="11530" max="11534" width="0" hidden="1" customWidth="1"/>
    <col min="11777" max="11777" width="3.85546875" bestFit="1" customWidth="1"/>
    <col min="11778" max="11778" width="61.5703125" customWidth="1"/>
    <col min="11779" max="11779" width="10" customWidth="1"/>
    <col min="11780" max="11780" width="11.85546875" customWidth="1"/>
    <col min="11781" max="11781" width="12.42578125" customWidth="1"/>
    <col min="11782" max="11782" width="9.7109375" customWidth="1"/>
    <col min="11783" max="11783" width="12" customWidth="1"/>
    <col min="11784" max="11784" width="13.28515625" customWidth="1"/>
    <col min="11785" max="11785" width="11.140625" customWidth="1"/>
    <col min="11786" max="11790" width="0" hidden="1" customWidth="1"/>
    <col min="12033" max="12033" width="3.85546875" bestFit="1" customWidth="1"/>
    <col min="12034" max="12034" width="61.5703125" customWidth="1"/>
    <col min="12035" max="12035" width="10" customWidth="1"/>
    <col min="12036" max="12036" width="11.85546875" customWidth="1"/>
    <col min="12037" max="12037" width="12.42578125" customWidth="1"/>
    <col min="12038" max="12038" width="9.7109375" customWidth="1"/>
    <col min="12039" max="12039" width="12" customWidth="1"/>
    <col min="12040" max="12040" width="13.28515625" customWidth="1"/>
    <col min="12041" max="12041" width="11.140625" customWidth="1"/>
    <col min="12042" max="12046" width="0" hidden="1" customWidth="1"/>
    <col min="12289" max="12289" width="3.85546875" bestFit="1" customWidth="1"/>
    <col min="12290" max="12290" width="61.5703125" customWidth="1"/>
    <col min="12291" max="12291" width="10" customWidth="1"/>
    <col min="12292" max="12292" width="11.85546875" customWidth="1"/>
    <col min="12293" max="12293" width="12.42578125" customWidth="1"/>
    <col min="12294" max="12294" width="9.7109375" customWidth="1"/>
    <col min="12295" max="12295" width="12" customWidth="1"/>
    <col min="12296" max="12296" width="13.28515625" customWidth="1"/>
    <col min="12297" max="12297" width="11.140625" customWidth="1"/>
    <col min="12298" max="12302" width="0" hidden="1" customWidth="1"/>
    <col min="12545" max="12545" width="3.85546875" bestFit="1" customWidth="1"/>
    <col min="12546" max="12546" width="61.5703125" customWidth="1"/>
    <col min="12547" max="12547" width="10" customWidth="1"/>
    <col min="12548" max="12548" width="11.85546875" customWidth="1"/>
    <col min="12549" max="12549" width="12.42578125" customWidth="1"/>
    <col min="12550" max="12550" width="9.7109375" customWidth="1"/>
    <col min="12551" max="12551" width="12" customWidth="1"/>
    <col min="12552" max="12552" width="13.28515625" customWidth="1"/>
    <col min="12553" max="12553" width="11.140625" customWidth="1"/>
    <col min="12554" max="12558" width="0" hidden="1" customWidth="1"/>
    <col min="12801" max="12801" width="3.85546875" bestFit="1" customWidth="1"/>
    <col min="12802" max="12802" width="61.5703125" customWidth="1"/>
    <col min="12803" max="12803" width="10" customWidth="1"/>
    <col min="12804" max="12804" width="11.85546875" customWidth="1"/>
    <col min="12805" max="12805" width="12.42578125" customWidth="1"/>
    <col min="12806" max="12806" width="9.7109375" customWidth="1"/>
    <col min="12807" max="12807" width="12" customWidth="1"/>
    <col min="12808" max="12808" width="13.28515625" customWidth="1"/>
    <col min="12809" max="12809" width="11.140625" customWidth="1"/>
    <col min="12810" max="12814" width="0" hidden="1" customWidth="1"/>
    <col min="13057" max="13057" width="3.85546875" bestFit="1" customWidth="1"/>
    <col min="13058" max="13058" width="61.5703125" customWidth="1"/>
    <col min="13059" max="13059" width="10" customWidth="1"/>
    <col min="13060" max="13060" width="11.85546875" customWidth="1"/>
    <col min="13061" max="13061" width="12.42578125" customWidth="1"/>
    <col min="13062" max="13062" width="9.7109375" customWidth="1"/>
    <col min="13063" max="13063" width="12" customWidth="1"/>
    <col min="13064" max="13064" width="13.28515625" customWidth="1"/>
    <col min="13065" max="13065" width="11.140625" customWidth="1"/>
    <col min="13066" max="13070" width="0" hidden="1" customWidth="1"/>
    <col min="13313" max="13313" width="3.85546875" bestFit="1" customWidth="1"/>
    <col min="13314" max="13314" width="61.5703125" customWidth="1"/>
    <col min="13315" max="13315" width="10" customWidth="1"/>
    <col min="13316" max="13316" width="11.85546875" customWidth="1"/>
    <col min="13317" max="13317" width="12.42578125" customWidth="1"/>
    <col min="13318" max="13318" width="9.7109375" customWidth="1"/>
    <col min="13319" max="13319" width="12" customWidth="1"/>
    <col min="13320" max="13320" width="13.28515625" customWidth="1"/>
    <col min="13321" max="13321" width="11.140625" customWidth="1"/>
    <col min="13322" max="13326" width="0" hidden="1" customWidth="1"/>
    <col min="13569" max="13569" width="3.85546875" bestFit="1" customWidth="1"/>
    <col min="13570" max="13570" width="61.5703125" customWidth="1"/>
    <col min="13571" max="13571" width="10" customWidth="1"/>
    <col min="13572" max="13572" width="11.85546875" customWidth="1"/>
    <col min="13573" max="13573" width="12.42578125" customWidth="1"/>
    <col min="13574" max="13574" width="9.7109375" customWidth="1"/>
    <col min="13575" max="13575" width="12" customWidth="1"/>
    <col min="13576" max="13576" width="13.28515625" customWidth="1"/>
    <col min="13577" max="13577" width="11.140625" customWidth="1"/>
    <col min="13578" max="13582" width="0" hidden="1" customWidth="1"/>
    <col min="13825" max="13825" width="3.85546875" bestFit="1" customWidth="1"/>
    <col min="13826" max="13826" width="61.5703125" customWidth="1"/>
    <col min="13827" max="13827" width="10" customWidth="1"/>
    <col min="13828" max="13828" width="11.85546875" customWidth="1"/>
    <col min="13829" max="13829" width="12.42578125" customWidth="1"/>
    <col min="13830" max="13830" width="9.7109375" customWidth="1"/>
    <col min="13831" max="13831" width="12" customWidth="1"/>
    <col min="13832" max="13832" width="13.28515625" customWidth="1"/>
    <col min="13833" max="13833" width="11.140625" customWidth="1"/>
    <col min="13834" max="13838" width="0" hidden="1" customWidth="1"/>
    <col min="14081" max="14081" width="3.85546875" bestFit="1" customWidth="1"/>
    <col min="14082" max="14082" width="61.5703125" customWidth="1"/>
    <col min="14083" max="14083" width="10" customWidth="1"/>
    <col min="14084" max="14084" width="11.85546875" customWidth="1"/>
    <col min="14085" max="14085" width="12.42578125" customWidth="1"/>
    <col min="14086" max="14086" width="9.7109375" customWidth="1"/>
    <col min="14087" max="14087" width="12" customWidth="1"/>
    <col min="14088" max="14088" width="13.28515625" customWidth="1"/>
    <col min="14089" max="14089" width="11.140625" customWidth="1"/>
    <col min="14090" max="14094" width="0" hidden="1" customWidth="1"/>
    <col min="14337" max="14337" width="3.85546875" bestFit="1" customWidth="1"/>
    <col min="14338" max="14338" width="61.5703125" customWidth="1"/>
    <col min="14339" max="14339" width="10" customWidth="1"/>
    <col min="14340" max="14340" width="11.85546875" customWidth="1"/>
    <col min="14341" max="14341" width="12.42578125" customWidth="1"/>
    <col min="14342" max="14342" width="9.7109375" customWidth="1"/>
    <col min="14343" max="14343" width="12" customWidth="1"/>
    <col min="14344" max="14344" width="13.28515625" customWidth="1"/>
    <col min="14345" max="14345" width="11.140625" customWidth="1"/>
    <col min="14346" max="14350" width="0" hidden="1" customWidth="1"/>
    <col min="14593" max="14593" width="3.85546875" bestFit="1" customWidth="1"/>
    <col min="14594" max="14594" width="61.5703125" customWidth="1"/>
    <col min="14595" max="14595" width="10" customWidth="1"/>
    <col min="14596" max="14596" width="11.85546875" customWidth="1"/>
    <col min="14597" max="14597" width="12.42578125" customWidth="1"/>
    <col min="14598" max="14598" width="9.7109375" customWidth="1"/>
    <col min="14599" max="14599" width="12" customWidth="1"/>
    <col min="14600" max="14600" width="13.28515625" customWidth="1"/>
    <col min="14601" max="14601" width="11.140625" customWidth="1"/>
    <col min="14602" max="14606" width="0" hidden="1" customWidth="1"/>
    <col min="14849" max="14849" width="3.85546875" bestFit="1" customWidth="1"/>
    <col min="14850" max="14850" width="61.5703125" customWidth="1"/>
    <col min="14851" max="14851" width="10" customWidth="1"/>
    <col min="14852" max="14852" width="11.85546875" customWidth="1"/>
    <col min="14853" max="14853" width="12.42578125" customWidth="1"/>
    <col min="14854" max="14854" width="9.7109375" customWidth="1"/>
    <col min="14855" max="14855" width="12" customWidth="1"/>
    <col min="14856" max="14856" width="13.28515625" customWidth="1"/>
    <col min="14857" max="14857" width="11.140625" customWidth="1"/>
    <col min="14858" max="14862" width="0" hidden="1" customWidth="1"/>
    <col min="15105" max="15105" width="3.85546875" bestFit="1" customWidth="1"/>
    <col min="15106" max="15106" width="61.5703125" customWidth="1"/>
    <col min="15107" max="15107" width="10" customWidth="1"/>
    <col min="15108" max="15108" width="11.85546875" customWidth="1"/>
    <col min="15109" max="15109" width="12.42578125" customWidth="1"/>
    <col min="15110" max="15110" width="9.7109375" customWidth="1"/>
    <col min="15111" max="15111" width="12" customWidth="1"/>
    <col min="15112" max="15112" width="13.28515625" customWidth="1"/>
    <col min="15113" max="15113" width="11.140625" customWidth="1"/>
    <col min="15114" max="15118" width="0" hidden="1" customWidth="1"/>
    <col min="15361" max="15361" width="3.85546875" bestFit="1" customWidth="1"/>
    <col min="15362" max="15362" width="61.5703125" customWidth="1"/>
    <col min="15363" max="15363" width="10" customWidth="1"/>
    <col min="15364" max="15364" width="11.85546875" customWidth="1"/>
    <col min="15365" max="15365" width="12.42578125" customWidth="1"/>
    <col min="15366" max="15366" width="9.7109375" customWidth="1"/>
    <col min="15367" max="15367" width="12" customWidth="1"/>
    <col min="15368" max="15368" width="13.28515625" customWidth="1"/>
    <col min="15369" max="15369" width="11.140625" customWidth="1"/>
    <col min="15370" max="15374" width="0" hidden="1" customWidth="1"/>
    <col min="15617" max="15617" width="3.85546875" bestFit="1" customWidth="1"/>
    <col min="15618" max="15618" width="61.5703125" customWidth="1"/>
    <col min="15619" max="15619" width="10" customWidth="1"/>
    <col min="15620" max="15620" width="11.85546875" customWidth="1"/>
    <col min="15621" max="15621" width="12.42578125" customWidth="1"/>
    <col min="15622" max="15622" width="9.7109375" customWidth="1"/>
    <col min="15623" max="15623" width="12" customWidth="1"/>
    <col min="15624" max="15624" width="13.28515625" customWidth="1"/>
    <col min="15625" max="15625" width="11.140625" customWidth="1"/>
    <col min="15626" max="15630" width="0" hidden="1" customWidth="1"/>
    <col min="15873" max="15873" width="3.85546875" bestFit="1" customWidth="1"/>
    <col min="15874" max="15874" width="61.5703125" customWidth="1"/>
    <col min="15875" max="15875" width="10" customWidth="1"/>
    <col min="15876" max="15876" width="11.85546875" customWidth="1"/>
    <col min="15877" max="15877" width="12.42578125" customWidth="1"/>
    <col min="15878" max="15878" width="9.7109375" customWidth="1"/>
    <col min="15879" max="15879" width="12" customWidth="1"/>
    <col min="15880" max="15880" width="13.28515625" customWidth="1"/>
    <col min="15881" max="15881" width="11.140625" customWidth="1"/>
    <col min="15882" max="15886" width="0" hidden="1" customWidth="1"/>
    <col min="16129" max="16129" width="3.85546875" bestFit="1" customWidth="1"/>
    <col min="16130" max="16130" width="61.5703125" customWidth="1"/>
    <col min="16131" max="16131" width="10" customWidth="1"/>
    <col min="16132" max="16132" width="11.85546875" customWidth="1"/>
    <col min="16133" max="16133" width="12.42578125" customWidth="1"/>
    <col min="16134" max="16134" width="9.7109375" customWidth="1"/>
    <col min="16135" max="16135" width="12" customWidth="1"/>
    <col min="16136" max="16136" width="13.28515625" customWidth="1"/>
    <col min="16137" max="16137" width="11.140625" customWidth="1"/>
    <col min="16138" max="16142" width="0" hidden="1" customWidth="1"/>
  </cols>
  <sheetData>
    <row r="1" spans="1:11" ht="48" customHeight="1">
      <c r="A1" s="282" t="s">
        <v>222</v>
      </c>
      <c r="B1" s="283"/>
      <c r="C1" s="283"/>
      <c r="D1" s="283"/>
      <c r="E1" s="283"/>
      <c r="F1" s="283"/>
      <c r="G1" s="283"/>
      <c r="H1" s="283"/>
      <c r="I1" s="284"/>
      <c r="J1" s="1"/>
      <c r="K1">
        <f>8183508+115914+111083+8065006+3950803</f>
        <v>20426314</v>
      </c>
    </row>
    <row r="2" spans="1:11" ht="17.25" customHeight="1">
      <c r="A2" s="285" t="s">
        <v>0</v>
      </c>
      <c r="B2" s="287" t="s">
        <v>1</v>
      </c>
      <c r="C2" s="287" t="s">
        <v>2</v>
      </c>
      <c r="D2" s="288" t="s">
        <v>223</v>
      </c>
      <c r="E2" s="289"/>
      <c r="F2" s="289"/>
      <c r="G2" s="289"/>
      <c r="H2" s="290" t="s">
        <v>224</v>
      </c>
      <c r="I2" s="288" t="s">
        <v>3</v>
      </c>
    </row>
    <row r="3" spans="1:11" ht="22.5" customHeight="1">
      <c r="A3" s="286"/>
      <c r="B3" s="287"/>
      <c r="C3" s="287"/>
      <c r="D3" s="154" t="s">
        <v>4</v>
      </c>
      <c r="E3" s="153" t="s">
        <v>5</v>
      </c>
      <c r="F3" s="153" t="s">
        <v>6</v>
      </c>
      <c r="G3" s="153" t="s">
        <v>7</v>
      </c>
      <c r="H3" s="290"/>
      <c r="I3" s="288"/>
    </row>
    <row r="4" spans="1:11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1" ht="15.75">
      <c r="A5" s="2" t="s">
        <v>9</v>
      </c>
      <c r="B5" s="3" t="s">
        <v>10</v>
      </c>
      <c r="C5" s="155" t="s">
        <v>11</v>
      </c>
      <c r="D5" s="5">
        <f>D8+D9+D7</f>
        <v>3249.5</v>
      </c>
      <c r="E5" s="5">
        <f>E8+E9+E7</f>
        <v>2442.578</v>
      </c>
      <c r="F5" s="5">
        <f>ROUND(E5/D5*100,1)</f>
        <v>75.2</v>
      </c>
      <c r="G5" s="5">
        <f>E5-D5</f>
        <v>-806.92200000000003</v>
      </c>
      <c r="H5" s="85">
        <f>H7+H8+H9</f>
        <v>2542.4</v>
      </c>
      <c r="I5" s="6">
        <f>IF(H5&gt;0,ROUND(E5/H5*100,1),0)</f>
        <v>96.1</v>
      </c>
    </row>
    <row r="6" spans="1:11" ht="15.75" customHeight="1">
      <c r="A6" s="2"/>
      <c r="B6" s="2" t="s">
        <v>12</v>
      </c>
      <c r="C6" s="2"/>
      <c r="F6" s="7"/>
      <c r="G6" s="7"/>
      <c r="H6" s="86"/>
      <c r="I6" s="7"/>
    </row>
    <row r="7" spans="1:11" ht="15.75">
      <c r="A7" s="2"/>
      <c r="B7" s="8" t="s">
        <v>13</v>
      </c>
      <c r="C7" s="2" t="s">
        <v>11</v>
      </c>
      <c r="D7" s="87">
        <v>2914</v>
      </c>
      <c r="E7" s="88">
        <v>2130.62</v>
      </c>
      <c r="F7" s="7">
        <f>ROUND(E7/D7*100,1)</f>
        <v>73.099999999999994</v>
      </c>
      <c r="G7" s="7">
        <f>E7-D7</f>
        <v>-783.38000000000011</v>
      </c>
      <c r="H7" s="86">
        <v>2260.3000000000002</v>
      </c>
      <c r="I7" s="9">
        <f>IF(H7&gt;0,ROUND(E8/H7*100,1),0)</f>
        <v>2.1</v>
      </c>
    </row>
    <row r="8" spans="1:11" ht="15.75">
      <c r="A8" s="2"/>
      <c r="B8" s="8" t="s">
        <v>14</v>
      </c>
      <c r="C8" s="2" t="s">
        <v>11</v>
      </c>
      <c r="D8" s="87">
        <v>40.5</v>
      </c>
      <c r="E8" s="88">
        <v>48.055</v>
      </c>
      <c r="F8" s="7">
        <f>ROUND(E8/D8*100,1)</f>
        <v>118.7</v>
      </c>
      <c r="G8" s="7">
        <f>E8-D8</f>
        <v>7.5549999999999997</v>
      </c>
      <c r="H8" s="86">
        <v>41.5</v>
      </c>
      <c r="I8" s="9">
        <f>IF(H8&gt;0,ROUND(E9/H8*100,1),0)</f>
        <v>635.9</v>
      </c>
    </row>
    <row r="9" spans="1:11" ht="15.75">
      <c r="A9" s="2"/>
      <c r="B9" s="8" t="s">
        <v>15</v>
      </c>
      <c r="C9" s="2" t="s">
        <v>11</v>
      </c>
      <c r="D9" s="87">
        <v>295</v>
      </c>
      <c r="E9" s="88">
        <v>263.90300000000002</v>
      </c>
      <c r="F9" s="7">
        <f>ROUND(E9/D9*100,1)</f>
        <v>89.5</v>
      </c>
      <c r="G9" s="7">
        <f>E9-D9</f>
        <v>-31.09699999999998</v>
      </c>
      <c r="H9" s="86">
        <v>240.6</v>
      </c>
      <c r="I9" s="9">
        <f>IF(H9&gt;0,ROUND(E10/H9*100,1),0)</f>
        <v>100</v>
      </c>
    </row>
    <row r="10" spans="1:11" ht="15.75">
      <c r="A10" s="2" t="s">
        <v>16</v>
      </c>
      <c r="B10" s="3" t="s">
        <v>17</v>
      </c>
      <c r="C10" s="152" t="s">
        <v>11</v>
      </c>
      <c r="D10" s="6">
        <f>D12+D13</f>
        <v>360</v>
      </c>
      <c r="E10" s="37">
        <f>E12+E13</f>
        <v>240.63990000000001</v>
      </c>
      <c r="F10" s="89">
        <f>ROUND(E10/D10*100,1)</f>
        <v>66.8</v>
      </c>
      <c r="G10" s="89">
        <f>E10-D10</f>
        <v>-119.36009999999999</v>
      </c>
      <c r="H10" s="6">
        <f>H12+H13</f>
        <v>147.19999999999999</v>
      </c>
      <c r="I10" s="9">
        <f>IF(H10&gt;0,ROUND(E10/H10*100,1),0)</f>
        <v>163.5</v>
      </c>
    </row>
    <row r="11" spans="1:11" ht="17.25" customHeight="1">
      <c r="A11" s="2"/>
      <c r="B11" s="2" t="s">
        <v>12</v>
      </c>
      <c r="C11" s="2"/>
      <c r="D11" s="87"/>
      <c r="E11" s="88"/>
      <c r="F11" s="7"/>
      <c r="G11" s="7"/>
      <c r="H11" s="86"/>
      <c r="I11" s="9">
        <f>IF(H11&gt;0,ROUND(E11/H11*100,1),0)</f>
        <v>0</v>
      </c>
    </row>
    <row r="12" spans="1:11" ht="15.75">
      <c r="A12" s="2"/>
      <c r="B12" s="8" t="s">
        <v>18</v>
      </c>
      <c r="C12" s="2" t="s">
        <v>11</v>
      </c>
      <c r="D12" s="87">
        <v>160</v>
      </c>
      <c r="E12" s="90">
        <v>122.75700000000001</v>
      </c>
      <c r="F12" s="7">
        <f>ROUND(E12/D12*100,1)</f>
        <v>76.7</v>
      </c>
      <c r="G12" s="7">
        <f>E12-D12</f>
        <v>-37.242999999999995</v>
      </c>
      <c r="H12" s="86">
        <v>49.4</v>
      </c>
      <c r="I12" s="9">
        <f>IF(H12&gt;0,ROUND(E12/H12*100,1),0)</f>
        <v>248.5</v>
      </c>
    </row>
    <row r="13" spans="1:11" ht="15.75">
      <c r="A13" s="2"/>
      <c r="B13" s="8" t="s">
        <v>19</v>
      </c>
      <c r="C13" s="2" t="s">
        <v>11</v>
      </c>
      <c r="D13" s="87">
        <f>80+120</f>
        <v>200</v>
      </c>
      <c r="E13" s="90">
        <f>93.1029+24.78</f>
        <v>117.88290000000001</v>
      </c>
      <c r="F13" s="7">
        <f>ROUND(E13/D13*100,1)</f>
        <v>58.9</v>
      </c>
      <c r="G13" s="7">
        <f>E13-D13</f>
        <v>-82.117099999999994</v>
      </c>
      <c r="H13" s="86">
        <v>97.8</v>
      </c>
      <c r="I13" s="9">
        <f>IF(H13&gt;0,ROUND(E13/H13*100,1),0)</f>
        <v>120.5</v>
      </c>
    </row>
    <row r="14" spans="1:11" ht="15.75">
      <c r="A14" s="2" t="s">
        <v>20</v>
      </c>
      <c r="B14" s="3" t="s">
        <v>21</v>
      </c>
      <c r="C14" s="155" t="s">
        <v>11</v>
      </c>
      <c r="D14" s="5">
        <f>D16+D17+D18</f>
        <v>3299.2</v>
      </c>
      <c r="E14" s="5">
        <f>E16+E17+E18</f>
        <v>2429.9270000000001</v>
      </c>
      <c r="F14" s="5">
        <f>ROUND(E14/D14*100,1)</f>
        <v>73.7</v>
      </c>
      <c r="G14" s="89">
        <f>E14-D14</f>
        <v>-869.27299999999968</v>
      </c>
      <c r="H14" s="6">
        <f>H16+H17+H18</f>
        <v>2744.3090000000002</v>
      </c>
      <c r="I14" s="10">
        <f>IF(H14&gt;0,ROUND(E14/H14*100,1),0)</f>
        <v>88.5</v>
      </c>
      <c r="J14" t="s">
        <v>22</v>
      </c>
    </row>
    <row r="15" spans="1:11" ht="18" customHeight="1">
      <c r="A15" s="2"/>
      <c r="B15" s="2" t="s">
        <v>12</v>
      </c>
      <c r="C15" s="2"/>
      <c r="D15" s="87"/>
      <c r="E15" s="88"/>
      <c r="F15" s="7"/>
      <c r="G15" s="7"/>
      <c r="H15" s="86"/>
      <c r="I15" s="7"/>
    </row>
    <row r="16" spans="1:11" ht="15.75">
      <c r="A16" s="2"/>
      <c r="B16" s="8" t="s">
        <v>13</v>
      </c>
      <c r="C16" s="2" t="s">
        <v>11</v>
      </c>
      <c r="D16" s="87">
        <v>2963.7</v>
      </c>
      <c r="E16" s="88">
        <v>2173.3820000000001</v>
      </c>
      <c r="F16" s="7">
        <f>ROUND(E16/D16*100,1)</f>
        <v>73.3</v>
      </c>
      <c r="G16" s="7">
        <f>E16-D16</f>
        <v>-790.31799999999976</v>
      </c>
      <c r="H16" s="86">
        <v>2498.194</v>
      </c>
      <c r="I16" s="9">
        <f>IF(H16&gt;0,ROUND(E16/H16*100,1),0)</f>
        <v>87</v>
      </c>
      <c r="J16" t="s">
        <v>22</v>
      </c>
    </row>
    <row r="17" spans="1:12" ht="15.75">
      <c r="A17" s="2"/>
      <c r="B17" s="8" t="s">
        <v>14</v>
      </c>
      <c r="C17" s="2" t="s">
        <v>11</v>
      </c>
      <c r="D17" s="87">
        <v>40.5</v>
      </c>
      <c r="E17" s="88">
        <v>37.54</v>
      </c>
      <c r="F17" s="7">
        <f>ROUND(E17/D17*100,1)</f>
        <v>92.7</v>
      </c>
      <c r="G17" s="7">
        <f>E17-D17</f>
        <v>-2.9600000000000009</v>
      </c>
      <c r="H17" s="86">
        <v>41.482999999999997</v>
      </c>
      <c r="I17" s="9">
        <f>IF(H17&gt;0,ROUND(E17/H17*100,1),0)</f>
        <v>90.5</v>
      </c>
      <c r="J17" t="s">
        <v>22</v>
      </c>
    </row>
    <row r="18" spans="1:12" ht="15.75">
      <c r="A18" s="2"/>
      <c r="B18" s="8" t="s">
        <v>15</v>
      </c>
      <c r="C18" s="2" t="s">
        <v>11</v>
      </c>
      <c r="D18" s="87">
        <v>295</v>
      </c>
      <c r="E18" s="88">
        <v>219.005</v>
      </c>
      <c r="F18" s="7">
        <f>ROUND(E18/D18*100,1)</f>
        <v>74.2</v>
      </c>
      <c r="G18" s="7">
        <f>E18-D18</f>
        <v>-75.995000000000005</v>
      </c>
      <c r="H18" s="86">
        <v>204.63200000000001</v>
      </c>
      <c r="I18" s="9">
        <f>IF(H18&gt;0,ROUND(E18/H18*100,1),0)</f>
        <v>107</v>
      </c>
    </row>
    <row r="19" spans="1:12" ht="18.75">
      <c r="A19" s="2" t="s">
        <v>23</v>
      </c>
      <c r="B19" s="3" t="s">
        <v>24</v>
      </c>
      <c r="C19" s="155" t="s">
        <v>25</v>
      </c>
      <c r="D19" s="5">
        <f>D21+D22+D23+D24</f>
        <v>21035</v>
      </c>
      <c r="E19" s="5">
        <f>E21+E22+E23+E24</f>
        <v>16412.793000000001</v>
      </c>
      <c r="F19" s="89">
        <f>ROUND(E19/D19*100,1)</f>
        <v>78</v>
      </c>
      <c r="G19" s="89">
        <f>E19-D19</f>
        <v>-4622.2069999999985</v>
      </c>
      <c r="H19" s="6">
        <f>H21+H22+H23+H24</f>
        <v>14688.213</v>
      </c>
      <c r="I19" s="10">
        <f>IF(H19&gt;0,ROUND(E19/H19*100,1),0)</f>
        <v>111.7</v>
      </c>
      <c r="J19" t="s">
        <v>22</v>
      </c>
    </row>
    <row r="20" spans="1:12" ht="15.75">
      <c r="A20" s="2"/>
      <c r="B20" s="3" t="s">
        <v>26</v>
      </c>
      <c r="C20" s="2"/>
      <c r="D20" s="87"/>
      <c r="E20" s="88"/>
      <c r="F20" s="7"/>
      <c r="G20" s="7"/>
      <c r="H20" s="86"/>
      <c r="I20" s="7"/>
      <c r="L20" s="11"/>
    </row>
    <row r="21" spans="1:12" ht="18.75">
      <c r="A21" s="2"/>
      <c r="B21" s="8" t="s">
        <v>27</v>
      </c>
      <c r="C21" s="2" t="s">
        <v>28</v>
      </c>
      <c r="D21" s="87">
        <v>6995</v>
      </c>
      <c r="E21" s="88">
        <v>5647.7330000000002</v>
      </c>
      <c r="F21" s="7">
        <f>ROUND(E21/D21*100,1)</f>
        <v>80.7</v>
      </c>
      <c r="G21" s="7">
        <f t="shared" ref="G21:G31" si="0">E21-D21</f>
        <v>-1347.2669999999998</v>
      </c>
      <c r="H21" s="86">
        <v>5203.7280000000001</v>
      </c>
      <c r="I21" s="9">
        <f t="shared" ref="I21:I28" si="1">IF(H21&gt;0,ROUND(E21/H21*100,1),0)</f>
        <v>108.5</v>
      </c>
      <c r="J21" t="s">
        <v>22</v>
      </c>
    </row>
    <row r="22" spans="1:12" ht="18.75">
      <c r="A22" s="2"/>
      <c r="B22" s="8" t="s">
        <v>29</v>
      </c>
      <c r="C22" s="2" t="s">
        <v>28</v>
      </c>
      <c r="D22" s="87">
        <v>13460</v>
      </c>
      <c r="E22" s="88">
        <v>10655.6</v>
      </c>
      <c r="F22" s="7">
        <f>ROUND(E22/D22*100,1)</f>
        <v>79.2</v>
      </c>
      <c r="G22" s="7">
        <f t="shared" si="0"/>
        <v>-2804.3999999999996</v>
      </c>
      <c r="H22" s="86">
        <v>8393.2000000000007</v>
      </c>
      <c r="I22" s="9">
        <f t="shared" si="1"/>
        <v>127</v>
      </c>
      <c r="J22" t="s">
        <v>22</v>
      </c>
    </row>
    <row r="23" spans="1:12" ht="18.75">
      <c r="A23" s="2"/>
      <c r="B23" s="8" t="s">
        <v>30</v>
      </c>
      <c r="C23" s="2" t="s">
        <v>28</v>
      </c>
      <c r="D23" s="87"/>
      <c r="E23" s="88"/>
      <c r="F23" s="7"/>
      <c r="G23" s="7">
        <f t="shared" si="0"/>
        <v>0</v>
      </c>
      <c r="H23" s="86"/>
      <c r="I23" s="9">
        <f t="shared" si="1"/>
        <v>0</v>
      </c>
      <c r="J23" t="s">
        <v>22</v>
      </c>
    </row>
    <row r="24" spans="1:12" ht="18.75">
      <c r="A24" s="2"/>
      <c r="B24" s="8" t="s">
        <v>31</v>
      </c>
      <c r="C24" s="2" t="s">
        <v>28</v>
      </c>
      <c r="D24" s="87">
        <v>580</v>
      </c>
      <c r="E24" s="88">
        <v>109.46</v>
      </c>
      <c r="F24" s="7">
        <f t="shared" ref="F24:F29" si="2">ROUND(E24/D24*100,1)</f>
        <v>18.899999999999999</v>
      </c>
      <c r="G24" s="7">
        <f t="shared" si="0"/>
        <v>-470.54</v>
      </c>
      <c r="H24" s="86">
        <v>1091.2850000000001</v>
      </c>
      <c r="I24" s="9">
        <f t="shared" si="1"/>
        <v>10</v>
      </c>
      <c r="J24" t="s">
        <v>22</v>
      </c>
    </row>
    <row r="25" spans="1:12" ht="15.75">
      <c r="A25" s="2" t="s">
        <v>32</v>
      </c>
      <c r="B25" s="12" t="s">
        <v>33</v>
      </c>
      <c r="C25" s="13" t="s">
        <v>34</v>
      </c>
      <c r="D25" s="91">
        <v>709</v>
      </c>
      <c r="E25" s="14">
        <v>1068</v>
      </c>
      <c r="F25" s="7">
        <f t="shared" si="2"/>
        <v>150.6</v>
      </c>
      <c r="G25" s="9">
        <f t="shared" si="0"/>
        <v>359</v>
      </c>
      <c r="H25" s="86">
        <v>1187.5</v>
      </c>
      <c r="I25" s="9">
        <f t="shared" si="1"/>
        <v>89.9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91">
        <v>504940.266</v>
      </c>
      <c r="E26" s="14">
        <v>388838.95199999999</v>
      </c>
      <c r="F26" s="9">
        <f t="shared" si="2"/>
        <v>77</v>
      </c>
      <c r="G26" s="9">
        <f t="shared" si="0"/>
        <v>-116101.31400000001</v>
      </c>
      <c r="H26" s="86">
        <v>397353.185</v>
      </c>
      <c r="I26" s="18">
        <f t="shared" si="1"/>
        <v>97.9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208</v>
      </c>
      <c r="C27" s="17" t="s">
        <v>37</v>
      </c>
      <c r="D27" s="91">
        <v>3555.6610000000001</v>
      </c>
      <c r="E27" s="14">
        <v>107.95099999999999</v>
      </c>
      <c r="F27" s="9">
        <f>ROUND(E27/D27*100,1)</f>
        <v>3</v>
      </c>
      <c r="G27" s="9">
        <f t="shared" si="0"/>
        <v>-3447.71</v>
      </c>
      <c r="H27" s="86">
        <v>325.51</v>
      </c>
      <c r="I27" s="18">
        <f t="shared" si="1"/>
        <v>33.200000000000003</v>
      </c>
      <c r="J27" t="s">
        <v>22</v>
      </c>
      <c r="K27"/>
    </row>
    <row r="28" spans="1:12" ht="31.5">
      <c r="A28" s="2" t="s">
        <v>39</v>
      </c>
      <c r="B28" s="137" t="s">
        <v>40</v>
      </c>
      <c r="C28" s="17" t="s">
        <v>37</v>
      </c>
      <c r="D28" s="91">
        <v>86377.399000000005</v>
      </c>
      <c r="E28" s="14">
        <v>3185.6509999999998</v>
      </c>
      <c r="F28" s="156">
        <f t="shared" si="2"/>
        <v>3.7</v>
      </c>
      <c r="G28" s="9">
        <f t="shared" si="0"/>
        <v>-83191.748000000007</v>
      </c>
      <c r="H28" s="86">
        <v>593.79999999999995</v>
      </c>
      <c r="I28" s="157">
        <f t="shared" si="1"/>
        <v>536.5</v>
      </c>
      <c r="J28" t="s">
        <v>22</v>
      </c>
    </row>
    <row r="29" spans="1:12" ht="19.5" customHeight="1">
      <c r="A29" s="13" t="s">
        <v>41</v>
      </c>
      <c r="B29" s="21" t="s">
        <v>42</v>
      </c>
      <c r="C29" s="17" t="s">
        <v>37</v>
      </c>
      <c r="D29" s="91">
        <v>4527.6000000000004</v>
      </c>
      <c r="E29" s="14">
        <v>4530.7</v>
      </c>
      <c r="F29" s="9">
        <f t="shared" si="2"/>
        <v>100.1</v>
      </c>
      <c r="G29" s="9">
        <f t="shared" si="0"/>
        <v>3.0999999999994543</v>
      </c>
      <c r="H29" s="86">
        <v>3928</v>
      </c>
      <c r="I29" s="9">
        <f>IF(H29&gt;0,ROUND(E29/H29*100,1),0)</f>
        <v>115.3</v>
      </c>
      <c r="J29" t="s">
        <v>22</v>
      </c>
    </row>
    <row r="30" spans="1:12" ht="21.75" customHeight="1">
      <c r="A30" s="291" t="s">
        <v>43</v>
      </c>
      <c r="B30" s="292"/>
      <c r="C30" s="292"/>
      <c r="D30" s="292"/>
      <c r="E30" s="292"/>
      <c r="F30" s="292"/>
      <c r="G30" s="292"/>
      <c r="H30" s="292"/>
      <c r="I30" s="292"/>
    </row>
    <row r="31" spans="1:12" ht="24" hidden="1" customHeight="1" outlineLevel="1">
      <c r="A31" s="13" t="s">
        <v>44</v>
      </c>
      <c r="B31" s="93" t="s">
        <v>209</v>
      </c>
      <c r="C31" s="17" t="s">
        <v>37</v>
      </c>
      <c r="D31" s="22"/>
      <c r="E31" s="14"/>
      <c r="F31" s="23"/>
      <c r="G31" s="18">
        <f t="shared" si="0"/>
        <v>0</v>
      </c>
      <c r="H31" s="14">
        <f>0.495*1000</f>
        <v>495</v>
      </c>
      <c r="I31" s="18">
        <f>IF(H31&gt;0,ROUND(E31/H31*100,1),0)</f>
        <v>0</v>
      </c>
      <c r="J31" s="24" t="s">
        <v>46</v>
      </c>
    </row>
    <row r="32" spans="1:12" ht="15.75" hidden="1" outlineLevel="1">
      <c r="A32" s="2" t="s">
        <v>47</v>
      </c>
      <c r="B32" s="12" t="s">
        <v>48</v>
      </c>
      <c r="C32" s="17" t="s">
        <v>37</v>
      </c>
      <c r="D32" s="22"/>
      <c r="E32" s="94"/>
      <c r="F32" s="23"/>
      <c r="G32" s="25"/>
      <c r="H32" s="18"/>
      <c r="I32" s="18">
        <f>IF(H32&gt;0,ROUND(E32/H32*100,1),0)</f>
        <v>0</v>
      </c>
    </row>
    <row r="33" spans="1:11" ht="15.75" collapsed="1">
      <c r="A33" s="2" t="s">
        <v>49</v>
      </c>
      <c r="B33" s="3" t="s">
        <v>50</v>
      </c>
      <c r="C33" s="17" t="s">
        <v>37</v>
      </c>
      <c r="D33" s="26">
        <f>D35+D39+D40+D41+D42+D43+D45+D44</f>
        <v>88544.938200000004</v>
      </c>
      <c r="E33" s="26">
        <f>E35+E39+E40+E41+E42+E43+E45+E44</f>
        <v>108206.9</v>
      </c>
      <c r="F33" s="26">
        <f>ROUND(E33/D33*100,1)</f>
        <v>122.2</v>
      </c>
      <c r="G33" s="26">
        <f t="shared" ref="G33:G44" si="3">E33-D33</f>
        <v>19661.96179999999</v>
      </c>
      <c r="H33" s="26">
        <f>H35+H39+H40+H41+H42+H43+H45+H44</f>
        <v>144436</v>
      </c>
      <c r="I33" s="26">
        <f>IF(H33&gt;0,ROUND(E33/H33*100,1),0)</f>
        <v>74.900000000000006</v>
      </c>
      <c r="J33" t="s">
        <v>51</v>
      </c>
    </row>
    <row r="34" spans="1:11" ht="15.75">
      <c r="A34" s="2"/>
      <c r="B34" s="162" t="s">
        <v>52</v>
      </c>
      <c r="C34" s="17" t="s">
        <v>37</v>
      </c>
      <c r="D34" s="95"/>
      <c r="E34" s="96"/>
      <c r="F34" s="27"/>
      <c r="G34" s="27">
        <f t="shared" si="3"/>
        <v>0</v>
      </c>
      <c r="H34" s="28"/>
      <c r="I34" s="28"/>
    </row>
    <row r="35" spans="1:11" ht="15.75">
      <c r="A35" s="2"/>
      <c r="B35" s="163" t="s">
        <v>53</v>
      </c>
      <c r="C35" s="17" t="s">
        <v>37</v>
      </c>
      <c r="D35" s="27">
        <f>D37+D38</f>
        <v>64.910199999996962</v>
      </c>
      <c r="E35" s="28">
        <f>E37+E38</f>
        <v>0</v>
      </c>
      <c r="F35" s="28">
        <f>ROUND(E35/D35*100,1)</f>
        <v>0</v>
      </c>
      <c r="G35" s="27">
        <f t="shared" si="3"/>
        <v>-64.910199999996962</v>
      </c>
      <c r="H35" s="86">
        <f>H37+H38</f>
        <v>3265</v>
      </c>
      <c r="I35" s="28">
        <f>IF(H35&gt;0,ROUND(E35/H35*100,1),0)</f>
        <v>0</v>
      </c>
      <c r="J35" t="s">
        <v>51</v>
      </c>
    </row>
    <row r="36" spans="1:11" ht="15.75">
      <c r="A36" s="2"/>
      <c r="B36" s="163" t="s">
        <v>54</v>
      </c>
      <c r="C36" s="17" t="s">
        <v>37</v>
      </c>
      <c r="D36" s="95"/>
      <c r="E36" s="97"/>
      <c r="F36" s="28"/>
      <c r="G36" s="27"/>
      <c r="H36" s="86"/>
      <c r="I36" s="28"/>
    </row>
    <row r="37" spans="1:11" ht="15.75">
      <c r="A37" s="2"/>
      <c r="B37" s="164" t="s">
        <v>55</v>
      </c>
      <c r="C37" s="17" t="s">
        <v>37</v>
      </c>
      <c r="D37" s="95"/>
      <c r="E37" s="97"/>
      <c r="F37" s="28"/>
      <c r="G37" s="27"/>
      <c r="H37" s="86"/>
      <c r="I37" s="28"/>
    </row>
    <row r="38" spans="1:11" ht="15.75">
      <c r="A38" s="2"/>
      <c r="B38" s="164" t="s">
        <v>56</v>
      </c>
      <c r="C38" s="17" t="s">
        <v>37</v>
      </c>
      <c r="D38" s="95">
        <f>D96</f>
        <v>64.910199999996962</v>
      </c>
      <c r="E38" s="97"/>
      <c r="F38" s="28">
        <f>ROUND(E38/D38*100,1)</f>
        <v>0</v>
      </c>
      <c r="G38" s="27">
        <f t="shared" si="3"/>
        <v>-64.910199999996962</v>
      </c>
      <c r="H38" s="86">
        <f>H96</f>
        <v>3265</v>
      </c>
      <c r="I38" s="28"/>
    </row>
    <row r="39" spans="1:11" ht="15.75">
      <c r="A39" s="2"/>
      <c r="B39" s="163" t="s">
        <v>57</v>
      </c>
      <c r="C39" s="17" t="s">
        <v>37</v>
      </c>
      <c r="D39" s="95">
        <f>D130</f>
        <v>88480.028000000006</v>
      </c>
      <c r="E39" s="97">
        <f>E130</f>
        <v>108206.9</v>
      </c>
      <c r="F39" s="28">
        <f>ROUND(E39/D39*100,1)</f>
        <v>122.3</v>
      </c>
      <c r="G39" s="27">
        <f t="shared" si="3"/>
        <v>19726.871999999988</v>
      </c>
      <c r="H39" s="86">
        <v>86863.2</v>
      </c>
      <c r="I39" s="28">
        <f>IF(H39&gt;0,ROUND(E39/H39*100,1),0)</f>
        <v>124.6</v>
      </c>
      <c r="J39" t="s">
        <v>58</v>
      </c>
      <c r="K39" s="95">
        <v>34799.205999999998</v>
      </c>
    </row>
    <row r="40" spans="1:11" ht="15.75">
      <c r="A40" s="2"/>
      <c r="B40" s="165" t="s">
        <v>59</v>
      </c>
      <c r="C40" s="17" t="s">
        <v>37</v>
      </c>
      <c r="D40" s="99"/>
      <c r="E40" s="97"/>
      <c r="F40" s="27"/>
      <c r="G40" s="27">
        <f t="shared" si="3"/>
        <v>0</v>
      </c>
      <c r="H40" s="28"/>
      <c r="I40" s="28"/>
    </row>
    <row r="41" spans="1:11" ht="33.75" customHeight="1">
      <c r="A41" s="100"/>
      <c r="B41" s="165" t="s">
        <v>60</v>
      </c>
      <c r="C41" s="17" t="s">
        <v>37</v>
      </c>
      <c r="D41" s="95"/>
      <c r="E41" s="97">
        <v>0</v>
      </c>
      <c r="F41" s="27"/>
      <c r="G41" s="27">
        <f t="shared" si="3"/>
        <v>0</v>
      </c>
      <c r="H41" s="28">
        <v>0</v>
      </c>
      <c r="I41" s="28">
        <f>IF(H41&gt;0,ROUND(E41/H41*100,1),0)</f>
        <v>0</v>
      </c>
      <c r="J41" t="s">
        <v>51</v>
      </c>
    </row>
    <row r="42" spans="1:11" ht="15.75">
      <c r="A42" s="2"/>
      <c r="B42" s="163" t="s">
        <v>61</v>
      </c>
      <c r="C42" s="17" t="s">
        <v>37</v>
      </c>
      <c r="D42" s="91"/>
      <c r="E42" s="14"/>
      <c r="F42" s="23"/>
      <c r="G42" s="27">
        <f t="shared" si="3"/>
        <v>0</v>
      </c>
      <c r="H42" s="18">
        <v>54307.8</v>
      </c>
      <c r="I42" s="18"/>
    </row>
    <row r="43" spans="1:11" ht="15.75">
      <c r="A43" s="2"/>
      <c r="B43" s="165" t="s">
        <v>62</v>
      </c>
      <c r="C43" s="17" t="s">
        <v>37</v>
      </c>
      <c r="D43" s="91"/>
      <c r="E43" s="14"/>
      <c r="F43" s="18"/>
      <c r="G43" s="27">
        <f t="shared" si="3"/>
        <v>0</v>
      </c>
      <c r="H43" s="18"/>
      <c r="I43" s="18"/>
    </row>
    <row r="44" spans="1:11" ht="15.75">
      <c r="A44" s="2"/>
      <c r="B44" s="165" t="s">
        <v>63</v>
      </c>
      <c r="C44" s="17" t="s">
        <v>37</v>
      </c>
      <c r="D44" s="91"/>
      <c r="E44" s="101"/>
      <c r="F44" s="18"/>
      <c r="G44" s="27">
        <f t="shared" si="3"/>
        <v>0</v>
      </c>
      <c r="H44" s="86"/>
      <c r="I44" s="18"/>
    </row>
    <row r="45" spans="1:11" ht="15.75" customHeight="1">
      <c r="A45" s="2"/>
      <c r="B45" s="163" t="s">
        <v>64</v>
      </c>
      <c r="C45" s="17" t="s">
        <v>37</v>
      </c>
      <c r="D45" s="91"/>
      <c r="E45" s="14"/>
      <c r="F45" s="18"/>
      <c r="G45" s="18"/>
      <c r="H45" s="18"/>
      <c r="I45" s="18"/>
    </row>
    <row r="46" spans="1:11" ht="47.25" hidden="1" outlineLevel="1">
      <c r="A46" s="2"/>
      <c r="B46" s="12" t="s">
        <v>65</v>
      </c>
      <c r="C46" s="13" t="s">
        <v>37</v>
      </c>
      <c r="D46" s="102"/>
      <c r="E46" s="102"/>
      <c r="F46" s="102"/>
      <c r="G46" s="102">
        <f>E46-D46</f>
        <v>0</v>
      </c>
      <c r="H46" s="102"/>
      <c r="I46" s="102">
        <f>IF(H46&gt;0,ROUND(E46/H46*100,1),0)</f>
        <v>0</v>
      </c>
    </row>
    <row r="47" spans="1:11" ht="15.75" collapsed="1">
      <c r="A47" s="297" t="s">
        <v>66</v>
      </c>
      <c r="B47" s="297"/>
      <c r="C47" s="297"/>
      <c r="D47" s="297"/>
      <c r="E47" s="297"/>
      <c r="F47" s="297"/>
      <c r="G47" s="297"/>
      <c r="H47" s="297"/>
      <c r="I47" s="297"/>
    </row>
    <row r="48" spans="1:11" ht="15.75">
      <c r="A48" s="2" t="s">
        <v>67</v>
      </c>
      <c r="B48" s="3" t="s">
        <v>68</v>
      </c>
      <c r="C48" s="2"/>
      <c r="D48" s="87"/>
      <c r="E48" s="88"/>
      <c r="F48" s="7"/>
      <c r="G48" s="7"/>
      <c r="H48" s="7"/>
      <c r="I48" s="7"/>
    </row>
    <row r="49" spans="1:10" ht="15.75" hidden="1" outlineLevel="1">
      <c r="A49" s="2"/>
      <c r="B49" s="12" t="s">
        <v>69</v>
      </c>
      <c r="C49" s="13" t="s">
        <v>70</v>
      </c>
      <c r="D49" s="103" t="e">
        <f>D51+D52</f>
        <v>#VALUE!</v>
      </c>
      <c r="E49" s="104" t="e">
        <f>E51+E52</f>
        <v>#VALUE!</v>
      </c>
      <c r="F49" s="102" t="e">
        <f>IF(E49&gt;0,ROUND(E49/D49*100,1),0)</f>
        <v>#VALUE!</v>
      </c>
      <c r="G49" s="102" t="e">
        <f>E49-D49</f>
        <v>#VALUE!</v>
      </c>
      <c r="H49" s="105" t="e">
        <f>H51+H52</f>
        <v>#VALUE!</v>
      </c>
      <c r="I49" s="102" t="e">
        <f>IF(H49&gt;0,ROUND(E49/H49*100,1),0)</f>
        <v>#VALUE!</v>
      </c>
    </row>
    <row r="50" spans="1:10" ht="15.75" hidden="1" outlineLevel="1">
      <c r="A50" s="2"/>
      <c r="B50" s="2" t="s">
        <v>12</v>
      </c>
      <c r="C50" s="13"/>
      <c r="D50" s="103"/>
      <c r="E50" s="104"/>
      <c r="F50" s="105"/>
      <c r="G50" s="105"/>
      <c r="H50" s="105"/>
      <c r="I50" s="105"/>
    </row>
    <row r="51" spans="1:10" ht="15.75" collapsed="1">
      <c r="A51" s="2"/>
      <c r="B51" s="8" t="s">
        <v>71</v>
      </c>
      <c r="C51" s="13" t="s">
        <v>72</v>
      </c>
      <c r="D51" s="91" t="s">
        <v>73</v>
      </c>
      <c r="E51" s="14" t="s">
        <v>73</v>
      </c>
      <c r="F51" s="9" t="s">
        <v>73</v>
      </c>
      <c r="G51" s="9" t="s">
        <v>73</v>
      </c>
      <c r="H51" s="106" t="s">
        <v>73</v>
      </c>
      <c r="I51" s="9" t="s">
        <v>73</v>
      </c>
    </row>
    <row r="52" spans="1:10" ht="15.75" hidden="1" outlineLevel="1">
      <c r="A52" s="2"/>
      <c r="B52" s="12" t="s">
        <v>74</v>
      </c>
      <c r="C52" s="13" t="s">
        <v>70</v>
      </c>
      <c r="D52" s="103"/>
      <c r="E52" s="104"/>
      <c r="F52" s="102"/>
      <c r="G52" s="102"/>
      <c r="H52" s="105"/>
      <c r="I52" s="102">
        <f>IF(H52&gt;0,ROUND(E52/H52*100,1),0)</f>
        <v>0</v>
      </c>
    </row>
    <row r="53" spans="1:10" ht="15.75" hidden="1" outlineLevel="1">
      <c r="A53" s="2"/>
      <c r="B53" s="12" t="s">
        <v>75</v>
      </c>
      <c r="C53" s="13" t="s">
        <v>70</v>
      </c>
      <c r="D53" s="22"/>
      <c r="E53" s="94"/>
      <c r="F53" s="102"/>
      <c r="G53" s="102"/>
      <c r="H53" s="102"/>
      <c r="I53" s="102">
        <f>IF(H53&gt;0,ROUND(E53/H53*100,1),0)</f>
        <v>0</v>
      </c>
    </row>
    <row r="54" spans="1:10" ht="15.75" collapsed="1">
      <c r="A54" s="2" t="s">
        <v>76</v>
      </c>
      <c r="B54" s="3" t="s">
        <v>77</v>
      </c>
      <c r="C54" s="13"/>
      <c r="D54" s="103"/>
      <c r="E54" s="104"/>
      <c r="F54" s="105"/>
      <c r="G54" s="105"/>
      <c r="H54" s="105"/>
      <c r="I54" s="105"/>
    </row>
    <row r="55" spans="1:10" ht="15.75">
      <c r="A55" s="2"/>
      <c r="B55" s="8" t="s">
        <v>78</v>
      </c>
      <c r="C55" s="13" t="s">
        <v>79</v>
      </c>
      <c r="D55" s="91" t="s">
        <v>73</v>
      </c>
      <c r="E55" s="14" t="s">
        <v>73</v>
      </c>
      <c r="F55" s="9" t="s">
        <v>73</v>
      </c>
      <c r="G55" s="9" t="s">
        <v>73</v>
      </c>
      <c r="H55" s="9" t="s">
        <v>73</v>
      </c>
      <c r="I55" s="9" t="s">
        <v>73</v>
      </c>
    </row>
    <row r="56" spans="1:10" ht="15.75" hidden="1" outlineLevel="1">
      <c r="A56" s="2"/>
      <c r="B56" s="12" t="s">
        <v>80</v>
      </c>
      <c r="C56" s="13" t="s">
        <v>81</v>
      </c>
      <c r="D56" s="107"/>
      <c r="E56" s="105"/>
      <c r="F56" s="105"/>
      <c r="G56" s="105"/>
      <c r="H56" s="105"/>
      <c r="I56" s="105"/>
    </row>
    <row r="57" spans="1:10" ht="24.75" hidden="1" customHeight="1" outlineLevel="1">
      <c r="A57" s="2"/>
      <c r="B57" s="12" t="s">
        <v>82</v>
      </c>
      <c r="C57" s="13" t="s">
        <v>81</v>
      </c>
      <c r="D57" s="108">
        <v>0</v>
      </c>
      <c r="E57" s="108"/>
      <c r="F57" s="108"/>
      <c r="G57" s="108"/>
      <c r="H57" s="108"/>
      <c r="I57" s="108"/>
    </row>
    <row r="58" spans="1:10" ht="15.75" collapsed="1">
      <c r="A58" s="298" t="s">
        <v>83</v>
      </c>
      <c r="B58" s="298"/>
      <c r="C58" s="298"/>
      <c r="D58" s="298"/>
      <c r="E58" s="298"/>
      <c r="F58" s="298"/>
      <c r="G58" s="298"/>
      <c r="H58" s="298"/>
      <c r="I58" s="298"/>
    </row>
    <row r="59" spans="1:10" ht="15.75">
      <c r="A59" s="2" t="s">
        <v>84</v>
      </c>
      <c r="B59" s="12" t="s">
        <v>85</v>
      </c>
      <c r="C59" s="13" t="s">
        <v>86</v>
      </c>
      <c r="D59" s="109">
        <v>6200</v>
      </c>
      <c r="E59" s="110">
        <v>6098</v>
      </c>
      <c r="F59" s="28">
        <f>ROUND(E59/D59*100,1)</f>
        <v>98.4</v>
      </c>
      <c r="G59" s="28">
        <f>E59-D59</f>
        <v>-102</v>
      </c>
      <c r="H59" s="86">
        <v>5887</v>
      </c>
      <c r="I59" s="28">
        <f t="shared" ref="I59:I64" si="4">IF(H59&gt;0,ROUND(E59/H59*100,1),0)</f>
        <v>103.6</v>
      </c>
      <c r="J59" t="s">
        <v>87</v>
      </c>
    </row>
    <row r="60" spans="1:10" ht="31.5" hidden="1" outlineLevel="1">
      <c r="A60" s="2" t="s">
        <v>88</v>
      </c>
      <c r="B60" s="12" t="s">
        <v>89</v>
      </c>
      <c r="C60" s="13" t="s">
        <v>90</v>
      </c>
      <c r="D60" s="99"/>
      <c r="E60" s="97"/>
      <c r="F60" s="28" t="e">
        <f>ROUND(E60/D60*100,1)</f>
        <v>#DIV/0!</v>
      </c>
      <c r="G60" s="28"/>
      <c r="H60" s="86"/>
      <c r="I60" s="28">
        <f t="shared" si="4"/>
        <v>0</v>
      </c>
    </row>
    <row r="61" spans="1:10" ht="15.75" collapsed="1">
      <c r="A61" s="2" t="s">
        <v>91</v>
      </c>
      <c r="B61" s="12" t="s">
        <v>92</v>
      </c>
      <c r="C61" s="17" t="s">
        <v>37</v>
      </c>
      <c r="D61" s="111">
        <v>188249</v>
      </c>
      <c r="E61" s="112">
        <v>145440.79999999999</v>
      </c>
      <c r="F61" s="28">
        <f>ROUND(E61/D61*100,1)</f>
        <v>77.3</v>
      </c>
      <c r="G61" s="28">
        <f>E61-D61</f>
        <v>-42808.200000000012</v>
      </c>
      <c r="H61" s="86">
        <v>113059.5</v>
      </c>
      <c r="I61" s="28">
        <f t="shared" si="4"/>
        <v>128.6</v>
      </c>
      <c r="J61" t="s">
        <v>87</v>
      </c>
    </row>
    <row r="62" spans="1:10" ht="15.75">
      <c r="A62" s="2" t="s">
        <v>93</v>
      </c>
      <c r="B62" s="12" t="s">
        <v>94</v>
      </c>
      <c r="C62" s="13" t="s">
        <v>95</v>
      </c>
      <c r="D62" s="99">
        <v>3373.6</v>
      </c>
      <c r="E62" s="97">
        <v>2643.7</v>
      </c>
      <c r="F62" s="28">
        <f>ROUND(E62/D62*100,1)</f>
        <v>78.400000000000006</v>
      </c>
      <c r="G62" s="28">
        <f>E62-D62</f>
        <v>-729.90000000000009</v>
      </c>
      <c r="H62" s="86">
        <v>2129</v>
      </c>
      <c r="I62" s="28">
        <f t="shared" si="4"/>
        <v>124.2</v>
      </c>
      <c r="J62" t="s">
        <v>87</v>
      </c>
    </row>
    <row r="63" spans="1:10" ht="15.75">
      <c r="A63" s="2" t="s">
        <v>96</v>
      </c>
      <c r="B63" s="162" t="s">
        <v>97</v>
      </c>
      <c r="C63" s="17" t="s">
        <v>37</v>
      </c>
      <c r="D63" s="91"/>
      <c r="E63" s="14">
        <v>1273512</v>
      </c>
      <c r="F63" s="28"/>
      <c r="G63" s="9"/>
      <c r="H63" s="86">
        <v>1075966</v>
      </c>
      <c r="I63" s="9">
        <f t="shared" si="4"/>
        <v>118.4</v>
      </c>
      <c r="J63" t="s">
        <v>58</v>
      </c>
    </row>
    <row r="64" spans="1:10" ht="15.75" hidden="1" outlineLevel="1">
      <c r="A64" s="2" t="s">
        <v>98</v>
      </c>
      <c r="B64" s="12" t="s">
        <v>99</v>
      </c>
      <c r="C64" s="13" t="s">
        <v>37</v>
      </c>
      <c r="D64" s="113"/>
      <c r="E64" s="114"/>
      <c r="F64" s="115"/>
      <c r="G64" s="113"/>
      <c r="H64" s="86"/>
      <c r="I64" s="115">
        <f t="shared" si="4"/>
        <v>0</v>
      </c>
      <c r="J64" s="31"/>
    </row>
    <row r="65" spans="1:13" ht="15.75" collapsed="1">
      <c r="A65" s="2" t="s">
        <v>100</v>
      </c>
      <c r="B65" s="12" t="s">
        <v>101</v>
      </c>
      <c r="C65" s="13" t="s">
        <v>102</v>
      </c>
      <c r="D65" s="116">
        <v>136348.73000000001</v>
      </c>
      <c r="E65" s="117">
        <v>160250.29999999999</v>
      </c>
      <c r="F65" s="28">
        <f>ROUND(E65/D65*100,1)</f>
        <v>117.5</v>
      </c>
      <c r="G65" s="28">
        <f>E65-D65</f>
        <v>23901.569999999978</v>
      </c>
      <c r="H65" s="86">
        <v>134892.70000000001</v>
      </c>
      <c r="I65" s="28">
        <f>ROUND(E65/H65*100,1)</f>
        <v>118.8</v>
      </c>
      <c r="J65" t="s">
        <v>103</v>
      </c>
    </row>
    <row r="66" spans="1:13" ht="15.75" hidden="1" outlineLevel="1">
      <c r="A66" s="2"/>
      <c r="B66" s="2" t="s">
        <v>12</v>
      </c>
      <c r="C66" s="13"/>
      <c r="D66" s="105"/>
      <c r="E66" s="105"/>
      <c r="F66" s="105"/>
      <c r="G66" s="105"/>
      <c r="H66" s="105"/>
      <c r="I66" s="105"/>
    </row>
    <row r="67" spans="1:13" ht="15.75" hidden="1" outlineLevel="1">
      <c r="A67" s="2"/>
      <c r="B67" s="12" t="s">
        <v>104</v>
      </c>
      <c r="C67" s="13" t="s">
        <v>102</v>
      </c>
      <c r="D67" s="105"/>
      <c r="E67" s="105"/>
      <c r="F67" s="105" t="e">
        <f>ROUND(E67/D67*100,1)</f>
        <v>#DIV/0!</v>
      </c>
      <c r="G67" s="105">
        <f>E67-D67</f>
        <v>0</v>
      </c>
      <c r="H67" s="105"/>
      <c r="I67" s="105" t="e">
        <f>ROUND(E67/H67*100,1)</f>
        <v>#DIV/0!</v>
      </c>
    </row>
    <row r="68" spans="1:13" ht="15.75" hidden="1" outlineLevel="1">
      <c r="A68" s="2"/>
      <c r="B68" s="12" t="s">
        <v>105</v>
      </c>
      <c r="C68" s="13" t="s">
        <v>102</v>
      </c>
      <c r="D68" s="105"/>
      <c r="E68" s="105"/>
      <c r="F68" s="105" t="e">
        <f>ROUND(E68/D68*100,1)</f>
        <v>#DIV/0!</v>
      </c>
      <c r="G68" s="105">
        <f>E68-D68</f>
        <v>0</v>
      </c>
      <c r="H68" s="105"/>
      <c r="I68" s="105" t="e">
        <f>ROUND(E68/H68*100,1)</f>
        <v>#DIV/0!</v>
      </c>
    </row>
    <row r="69" spans="1:13" s="32" customFormat="1" ht="15.75" collapsed="1">
      <c r="A69" s="298" t="s">
        <v>106</v>
      </c>
      <c r="B69" s="298"/>
      <c r="C69" s="298"/>
      <c r="D69" s="298"/>
      <c r="E69" s="298"/>
      <c r="F69" s="298"/>
      <c r="G69" s="298"/>
      <c r="H69" s="298"/>
      <c r="I69" s="298"/>
    </row>
    <row r="70" spans="1:13" ht="15.75">
      <c r="A70" s="2" t="s">
        <v>107</v>
      </c>
      <c r="B70" s="12" t="s">
        <v>108</v>
      </c>
      <c r="C70" s="17" t="s">
        <v>37</v>
      </c>
      <c r="D70" s="99">
        <f>621813.1</f>
        <v>621813.1</v>
      </c>
      <c r="E70" s="14">
        <v>388214.9</v>
      </c>
      <c r="F70" s="9">
        <f t="shared" ref="F70:F95" si="5">ROUND(E70/D70*100,1)</f>
        <v>62.4</v>
      </c>
      <c r="G70" s="9">
        <f t="shared" ref="G70:G96" si="6">E70-D70</f>
        <v>-233598.19999999995</v>
      </c>
      <c r="H70" s="86">
        <v>575684</v>
      </c>
      <c r="I70" s="9">
        <f t="shared" ref="I70:I85" si="7">ROUND(E70/H70*100,1)</f>
        <v>67.400000000000006</v>
      </c>
      <c r="J70" t="s">
        <v>103</v>
      </c>
      <c r="M70">
        <f>1759313-152984-76292-1017231</f>
        <v>512806</v>
      </c>
    </row>
    <row r="71" spans="1:13" ht="15.75">
      <c r="A71" s="2" t="s">
        <v>109</v>
      </c>
      <c r="B71" s="12" t="s">
        <v>110</v>
      </c>
      <c r="C71" s="17" t="s">
        <v>37</v>
      </c>
      <c r="D71" s="99">
        <v>439880.85499999998</v>
      </c>
      <c r="E71" s="14">
        <v>305491.55</v>
      </c>
      <c r="F71" s="9">
        <f t="shared" si="5"/>
        <v>69.400000000000006</v>
      </c>
      <c r="G71" s="9">
        <f t="shared" si="6"/>
        <v>-134389.30499999999</v>
      </c>
      <c r="H71" s="86">
        <v>449845</v>
      </c>
      <c r="I71" s="9">
        <f t="shared" si="7"/>
        <v>67.900000000000006</v>
      </c>
      <c r="J71" t="s">
        <v>103</v>
      </c>
    </row>
    <row r="72" spans="1:13" ht="15.75">
      <c r="A72" s="2" t="s">
        <v>111</v>
      </c>
      <c r="B72" s="12" t="s">
        <v>112</v>
      </c>
      <c r="C72" s="17" t="s">
        <v>37</v>
      </c>
      <c r="D72" s="33">
        <f>D70-D71</f>
        <v>181932.245</v>
      </c>
      <c r="E72" s="34">
        <f>E70-E71</f>
        <v>82723.350000000035</v>
      </c>
      <c r="F72" s="7">
        <f t="shared" si="5"/>
        <v>45.5</v>
      </c>
      <c r="G72" s="9">
        <f t="shared" si="6"/>
        <v>-99208.89499999996</v>
      </c>
      <c r="H72" s="18">
        <f>H70-H71</f>
        <v>125839</v>
      </c>
      <c r="I72" s="7">
        <f t="shared" si="7"/>
        <v>65.7</v>
      </c>
      <c r="J72" t="s">
        <v>103</v>
      </c>
      <c r="M72" s="11">
        <f>D72-D73</f>
        <v>93216.252999999997</v>
      </c>
    </row>
    <row r="73" spans="1:13" ht="15.75">
      <c r="A73" s="2"/>
      <c r="B73" s="3" t="s">
        <v>113</v>
      </c>
      <c r="C73" s="17" t="s">
        <v>37</v>
      </c>
      <c r="D73" s="26">
        <f>D74+D75+D76</f>
        <v>88715.991999999998</v>
      </c>
      <c r="E73" s="6">
        <f>E74+E75+E76</f>
        <v>125034.29000000001</v>
      </c>
      <c r="F73" s="10">
        <f t="shared" si="5"/>
        <v>140.9</v>
      </c>
      <c r="G73" s="10">
        <f t="shared" si="6"/>
        <v>36318.29800000001</v>
      </c>
      <c r="H73" s="118">
        <f>H74+H75+H76</f>
        <v>86618</v>
      </c>
      <c r="I73" s="10">
        <f t="shared" si="7"/>
        <v>144.4</v>
      </c>
      <c r="J73" t="s">
        <v>103</v>
      </c>
      <c r="M73" s="11">
        <f>M72+D77</f>
        <v>93216.252999999997</v>
      </c>
    </row>
    <row r="74" spans="1:13" ht="15.75">
      <c r="A74" s="2"/>
      <c r="B74" s="119" t="s">
        <v>114</v>
      </c>
      <c r="C74" s="17" t="s">
        <v>37</v>
      </c>
      <c r="D74" s="99">
        <v>3579.99</v>
      </c>
      <c r="E74" s="88">
        <v>28525.599999999999</v>
      </c>
      <c r="F74" s="7">
        <f t="shared" si="5"/>
        <v>796.8</v>
      </c>
      <c r="G74" s="9">
        <f t="shared" si="6"/>
        <v>24945.61</v>
      </c>
      <c r="H74" s="86">
        <v>5699</v>
      </c>
      <c r="I74" s="7">
        <f t="shared" si="7"/>
        <v>500.5</v>
      </c>
      <c r="J74" t="s">
        <v>103</v>
      </c>
    </row>
    <row r="75" spans="1:13" ht="15.75">
      <c r="A75" s="2"/>
      <c r="B75" s="119" t="s">
        <v>115</v>
      </c>
      <c r="C75" s="17" t="s">
        <v>37</v>
      </c>
      <c r="D75" s="99">
        <v>35990.142</v>
      </c>
      <c r="E75" s="88">
        <v>31442.400000000001</v>
      </c>
      <c r="F75" s="9">
        <f t="shared" si="5"/>
        <v>87.4</v>
      </c>
      <c r="G75" s="9">
        <f t="shared" si="6"/>
        <v>-4547.7419999999984</v>
      </c>
      <c r="H75" s="86">
        <v>16988</v>
      </c>
      <c r="I75" s="9">
        <f t="shared" si="7"/>
        <v>185.1</v>
      </c>
      <c r="J75" t="s">
        <v>103</v>
      </c>
    </row>
    <row r="76" spans="1:13" ht="15.75">
      <c r="A76" s="2"/>
      <c r="B76" s="119" t="s">
        <v>116</v>
      </c>
      <c r="C76" s="17" t="s">
        <v>37</v>
      </c>
      <c r="D76" s="99">
        <v>49145.86</v>
      </c>
      <c r="E76" s="88">
        <v>65066.29</v>
      </c>
      <c r="F76" s="9">
        <f t="shared" si="5"/>
        <v>132.4</v>
      </c>
      <c r="G76" s="9">
        <f t="shared" si="6"/>
        <v>15920.43</v>
      </c>
      <c r="H76" s="86">
        <v>63931</v>
      </c>
      <c r="I76" s="9">
        <f t="shared" si="7"/>
        <v>101.8</v>
      </c>
      <c r="J76" t="s">
        <v>103</v>
      </c>
    </row>
    <row r="77" spans="1:13" ht="15.75">
      <c r="A77" s="2"/>
      <c r="B77" s="12" t="s">
        <v>117</v>
      </c>
      <c r="C77" s="17" t="s">
        <v>37</v>
      </c>
      <c r="D77" s="116">
        <v>0</v>
      </c>
      <c r="E77" s="14">
        <v>13818</v>
      </c>
      <c r="F77" s="9"/>
      <c r="G77" s="9">
        <f t="shared" si="6"/>
        <v>13818</v>
      </c>
      <c r="H77" s="86">
        <v>162578</v>
      </c>
      <c r="I77" s="9">
        <f t="shared" si="7"/>
        <v>8.5</v>
      </c>
      <c r="J77" t="s">
        <v>103</v>
      </c>
    </row>
    <row r="78" spans="1:13" ht="15.75">
      <c r="A78" s="2"/>
      <c r="B78" s="12" t="s">
        <v>118</v>
      </c>
      <c r="C78" s="17" t="s">
        <v>37</v>
      </c>
      <c r="D78" s="99">
        <v>93000</v>
      </c>
      <c r="E78" s="14">
        <v>143225.34</v>
      </c>
      <c r="F78" s="9">
        <f t="shared" si="5"/>
        <v>154</v>
      </c>
      <c r="G78" s="9">
        <f t="shared" si="6"/>
        <v>50225.34</v>
      </c>
      <c r="H78" s="86">
        <v>197176</v>
      </c>
      <c r="I78" s="9">
        <f t="shared" si="7"/>
        <v>72.599999999999994</v>
      </c>
      <c r="J78" t="s">
        <v>103</v>
      </c>
    </row>
    <row r="79" spans="1:13" ht="15.75" hidden="1" outlineLevel="1">
      <c r="A79" s="2"/>
      <c r="B79" s="12" t="s">
        <v>119</v>
      </c>
      <c r="C79" s="17" t="s">
        <v>37</v>
      </c>
      <c r="D79" s="111"/>
      <c r="E79" s="88"/>
      <c r="F79" s="9" t="e">
        <f t="shared" si="5"/>
        <v>#DIV/0!</v>
      </c>
      <c r="G79" s="9">
        <f t="shared" si="6"/>
        <v>0</v>
      </c>
      <c r="H79" s="120"/>
      <c r="I79" s="9" t="e">
        <f t="shared" si="7"/>
        <v>#DIV/0!</v>
      </c>
    </row>
    <row r="80" spans="1:13" ht="15.75" hidden="1" outlineLevel="1">
      <c r="A80" s="2"/>
      <c r="B80" s="12" t="s">
        <v>120</v>
      </c>
      <c r="C80" s="17" t="s">
        <v>37</v>
      </c>
      <c r="D80" s="111"/>
      <c r="E80" s="88"/>
      <c r="F80" s="9" t="e">
        <f t="shared" si="5"/>
        <v>#DIV/0!</v>
      </c>
      <c r="G80" s="9">
        <f t="shared" si="6"/>
        <v>0</v>
      </c>
      <c r="H80" s="120"/>
      <c r="I80" s="9" t="e">
        <f t="shared" si="7"/>
        <v>#DIV/0!</v>
      </c>
    </row>
    <row r="81" spans="1:10" ht="15.75" hidden="1" outlineLevel="1">
      <c r="A81" s="2"/>
      <c r="B81" s="12" t="s">
        <v>121</v>
      </c>
      <c r="C81" s="17" t="s">
        <v>37</v>
      </c>
      <c r="D81" s="111"/>
      <c r="E81" s="88"/>
      <c r="F81" s="9" t="e">
        <f t="shared" si="5"/>
        <v>#DIV/0!</v>
      </c>
      <c r="G81" s="9">
        <f t="shared" si="6"/>
        <v>0</v>
      </c>
      <c r="H81" s="120"/>
      <c r="I81" s="9" t="e">
        <f t="shared" si="7"/>
        <v>#DIV/0!</v>
      </c>
    </row>
    <row r="82" spans="1:10" ht="15.75" hidden="1" outlineLevel="1">
      <c r="A82" s="2"/>
      <c r="B82" s="12" t="s">
        <v>122</v>
      </c>
      <c r="C82" s="17" t="s">
        <v>37</v>
      </c>
      <c r="D82" s="111"/>
      <c r="E82" s="88"/>
      <c r="F82" s="9" t="e">
        <f t="shared" si="5"/>
        <v>#DIV/0!</v>
      </c>
      <c r="G82" s="9">
        <f t="shared" si="6"/>
        <v>0</v>
      </c>
      <c r="H82" s="120"/>
      <c r="I82" s="9" t="e">
        <f t="shared" si="7"/>
        <v>#DIV/0!</v>
      </c>
    </row>
    <row r="83" spans="1:10" ht="15.75" hidden="1" outlineLevel="1">
      <c r="A83" s="2"/>
      <c r="B83" s="12" t="s">
        <v>123</v>
      </c>
      <c r="C83" s="17" t="s">
        <v>37</v>
      </c>
      <c r="D83" s="111"/>
      <c r="E83" s="88"/>
      <c r="F83" s="9" t="e">
        <f t="shared" si="5"/>
        <v>#DIV/0!</v>
      </c>
      <c r="G83" s="9">
        <f t="shared" si="6"/>
        <v>0</v>
      </c>
      <c r="H83" s="120"/>
      <c r="I83" s="9" t="e">
        <f t="shared" si="7"/>
        <v>#DIV/0!</v>
      </c>
    </row>
    <row r="84" spans="1:10" ht="15.75" hidden="1" outlineLevel="1">
      <c r="A84" s="2"/>
      <c r="B84" s="12" t="s">
        <v>121</v>
      </c>
      <c r="C84" s="17" t="s">
        <v>37</v>
      </c>
      <c r="D84" s="111"/>
      <c r="E84" s="88"/>
      <c r="F84" s="9" t="e">
        <f t="shared" si="5"/>
        <v>#DIV/0!</v>
      </c>
      <c r="G84" s="9">
        <f t="shared" si="6"/>
        <v>0</v>
      </c>
      <c r="H84" s="120"/>
      <c r="I84" s="9" t="e">
        <f t="shared" si="7"/>
        <v>#DIV/0!</v>
      </c>
    </row>
    <row r="85" spans="1:10" ht="15.75" hidden="1" outlineLevel="1">
      <c r="A85" s="2"/>
      <c r="B85" s="12" t="s">
        <v>122</v>
      </c>
      <c r="C85" s="17" t="s">
        <v>37</v>
      </c>
      <c r="D85" s="111"/>
      <c r="E85" s="88"/>
      <c r="F85" s="9" t="e">
        <f t="shared" si="5"/>
        <v>#DIV/0!</v>
      </c>
      <c r="G85" s="9">
        <f t="shared" si="6"/>
        <v>0</v>
      </c>
      <c r="H85" s="120"/>
      <c r="I85" s="9" t="e">
        <f t="shared" si="7"/>
        <v>#DIV/0!</v>
      </c>
    </row>
    <row r="86" spans="1:10" ht="15.75" hidden="1" outlineLevel="1" collapsed="1">
      <c r="A86" s="2"/>
      <c r="B86" s="12" t="s">
        <v>124</v>
      </c>
      <c r="C86" s="17" t="s">
        <v>37</v>
      </c>
      <c r="D86" s="99"/>
      <c r="E86" s="88"/>
      <c r="F86" s="9" t="e">
        <f t="shared" si="5"/>
        <v>#DIV/0!</v>
      </c>
      <c r="G86" s="9">
        <f t="shared" si="6"/>
        <v>0</v>
      </c>
      <c r="H86" s="120"/>
      <c r="I86" s="9"/>
    </row>
    <row r="87" spans="1:10" ht="15.75" hidden="1" outlineLevel="1">
      <c r="A87" s="2"/>
      <c r="B87" s="12" t="s">
        <v>121</v>
      </c>
      <c r="C87" s="17" t="s">
        <v>37</v>
      </c>
      <c r="D87" s="99"/>
      <c r="E87" s="88"/>
      <c r="F87" s="9" t="e">
        <f t="shared" si="5"/>
        <v>#DIV/0!</v>
      </c>
      <c r="G87" s="9">
        <f t="shared" si="6"/>
        <v>0</v>
      </c>
      <c r="H87" s="120"/>
      <c r="I87" s="9" t="e">
        <f>ROUND(E87/H87*100,1)</f>
        <v>#DIV/0!</v>
      </c>
    </row>
    <row r="88" spans="1:10" ht="15.75" hidden="1" outlineLevel="1">
      <c r="A88" s="2"/>
      <c r="B88" s="12" t="s">
        <v>122</v>
      </c>
      <c r="C88" s="17" t="s">
        <v>37</v>
      </c>
      <c r="D88" s="111"/>
      <c r="E88" s="88"/>
      <c r="F88" s="9" t="e">
        <f t="shared" si="5"/>
        <v>#DIV/0!</v>
      </c>
      <c r="G88" s="9">
        <f t="shared" si="6"/>
        <v>0</v>
      </c>
      <c r="H88" s="120"/>
      <c r="I88" s="9"/>
    </row>
    <row r="89" spans="1:10" ht="15.75" collapsed="1">
      <c r="A89" s="2"/>
      <c r="B89" s="12" t="s">
        <v>125</v>
      </c>
      <c r="C89" s="17" t="s">
        <v>37</v>
      </c>
      <c r="D89" s="26">
        <f>D72-D73+D77-D78</f>
        <v>216.25299999999697</v>
      </c>
      <c r="E89" s="28">
        <v>-161800.71</v>
      </c>
      <c r="F89" s="10">
        <f>ROUND(E89/D89*100,1)</f>
        <v>-74820.100000000006</v>
      </c>
      <c r="G89" s="10">
        <f t="shared" si="6"/>
        <v>-162016.96299999999</v>
      </c>
      <c r="H89" s="10">
        <f>H72-H73+H77-H78</f>
        <v>4623</v>
      </c>
      <c r="I89" s="10">
        <f t="shared" ref="I89:I96" si="8">ROUND(E89/H89*100,1)</f>
        <v>-3499.9</v>
      </c>
      <c r="J89" t="s">
        <v>103</v>
      </c>
    </row>
    <row r="90" spans="1:10" ht="17.25" hidden="1" customHeight="1" outlineLevel="1">
      <c r="A90" s="2"/>
      <c r="B90" s="12" t="s">
        <v>126</v>
      </c>
      <c r="C90" s="17" t="s">
        <v>37</v>
      </c>
      <c r="D90" s="99"/>
      <c r="E90" s="14"/>
      <c r="F90" s="9"/>
      <c r="G90" s="9">
        <f t="shared" si="6"/>
        <v>0</v>
      </c>
      <c r="H90" s="121"/>
      <c r="I90" s="9" t="e">
        <f t="shared" si="8"/>
        <v>#DIV/0!</v>
      </c>
      <c r="J90" t="s">
        <v>103</v>
      </c>
    </row>
    <row r="91" spans="1:10" ht="17.25" hidden="1" customHeight="1" outlineLevel="1">
      <c r="A91" s="2"/>
      <c r="B91" s="12" t="s">
        <v>127</v>
      </c>
      <c r="C91" s="17" t="s">
        <v>37</v>
      </c>
      <c r="D91" s="111"/>
      <c r="E91" s="88"/>
      <c r="F91" s="9"/>
      <c r="G91" s="9">
        <f t="shared" si="6"/>
        <v>0</v>
      </c>
      <c r="H91" s="122"/>
      <c r="I91" s="9"/>
    </row>
    <row r="92" spans="1:10" ht="15.75" collapsed="1">
      <c r="A92" s="2"/>
      <c r="B92" s="12" t="s">
        <v>128</v>
      </c>
      <c r="C92" s="17" t="s">
        <v>37</v>
      </c>
      <c r="D92" s="111">
        <v>1261.19</v>
      </c>
      <c r="E92" s="88"/>
      <c r="F92" s="9">
        <v>0</v>
      </c>
      <c r="G92" s="9">
        <f t="shared" si="6"/>
        <v>-1261.19</v>
      </c>
      <c r="H92" s="86">
        <v>6700</v>
      </c>
      <c r="I92" s="9"/>
      <c r="J92" t="s">
        <v>103</v>
      </c>
    </row>
    <row r="93" spans="1:10" ht="17.25" customHeight="1">
      <c r="A93" s="2"/>
      <c r="B93" s="12" t="s">
        <v>129</v>
      </c>
      <c r="C93" s="17" t="s">
        <v>37</v>
      </c>
      <c r="D93" s="111">
        <f>D92*12%</f>
        <v>151.34280000000001</v>
      </c>
      <c r="E93" s="88"/>
      <c r="F93" s="9">
        <v>0</v>
      </c>
      <c r="G93" s="9">
        <f t="shared" si="6"/>
        <v>-151.34280000000001</v>
      </c>
      <c r="H93" s="86">
        <v>1358</v>
      </c>
      <c r="I93" s="9">
        <f t="shared" si="8"/>
        <v>0</v>
      </c>
      <c r="J93" t="s">
        <v>103</v>
      </c>
    </row>
    <row r="94" spans="1:10" ht="15.75" hidden="1" outlineLevel="1">
      <c r="A94" s="2"/>
      <c r="B94" s="12" t="s">
        <v>130</v>
      </c>
      <c r="C94" s="17" t="s">
        <v>37</v>
      </c>
      <c r="D94" s="111">
        <v>0</v>
      </c>
      <c r="E94" s="88">
        <v>0</v>
      </c>
      <c r="F94" s="9"/>
      <c r="G94" s="9">
        <f t="shared" si="6"/>
        <v>0</v>
      </c>
      <c r="H94" s="86"/>
      <c r="I94" s="9"/>
      <c r="J94" t="s">
        <v>103</v>
      </c>
    </row>
    <row r="95" spans="1:10" ht="15.75" hidden="1" outlineLevel="1">
      <c r="A95" s="2"/>
      <c r="B95" s="12" t="s">
        <v>131</v>
      </c>
      <c r="C95" s="17" t="s">
        <v>37</v>
      </c>
      <c r="D95" s="111"/>
      <c r="E95" s="88"/>
      <c r="F95" s="9" t="e">
        <f t="shared" si="5"/>
        <v>#DIV/0!</v>
      </c>
      <c r="G95" s="9">
        <f t="shared" si="6"/>
        <v>0</v>
      </c>
      <c r="H95" s="86"/>
      <c r="I95" s="9" t="e">
        <f t="shared" si="8"/>
        <v>#DIV/0!</v>
      </c>
    </row>
    <row r="96" spans="1:10" ht="15.75" collapsed="1">
      <c r="A96" s="2"/>
      <c r="B96" s="12" t="s">
        <v>132</v>
      </c>
      <c r="C96" s="17" t="s">
        <v>37</v>
      </c>
      <c r="D96" s="33">
        <f>D89-D93-D94</f>
        <v>64.910199999996962</v>
      </c>
      <c r="E96" s="34">
        <f>E89-E93-E94</f>
        <v>-161800.71</v>
      </c>
      <c r="F96" s="9">
        <f>ROUND(E96/D96*100,1)</f>
        <v>-249268.5</v>
      </c>
      <c r="G96" s="9">
        <f t="shared" si="6"/>
        <v>-161865.62019999998</v>
      </c>
      <c r="H96" s="86">
        <v>3265</v>
      </c>
      <c r="I96" s="9">
        <f t="shared" si="8"/>
        <v>-4955.6000000000004</v>
      </c>
      <c r="J96" t="s">
        <v>103</v>
      </c>
    </row>
    <row r="97" spans="1:12" ht="15.75" hidden="1" outlineLevel="1">
      <c r="A97" s="2"/>
      <c r="B97" s="123" t="s">
        <v>133</v>
      </c>
      <c r="C97" s="17" t="s">
        <v>37</v>
      </c>
      <c r="D97" s="124"/>
      <c r="E97" s="125"/>
      <c r="F97" s="126"/>
      <c r="G97" s="126"/>
      <c r="H97" s="102"/>
      <c r="I97" s="126"/>
    </row>
    <row r="98" spans="1:12" ht="15.75" hidden="1" outlineLevel="1">
      <c r="A98" s="2"/>
      <c r="B98" s="12" t="s">
        <v>134</v>
      </c>
      <c r="C98" s="17" t="s">
        <v>37</v>
      </c>
      <c r="D98" s="87"/>
      <c r="E98" s="14"/>
      <c r="F98" s="9">
        <f>IF(E98&gt;0,ROUND(E98/D98*100,1),0)</f>
        <v>0</v>
      </c>
      <c r="G98" s="9">
        <f>E98-D98</f>
        <v>0</v>
      </c>
      <c r="H98" s="102"/>
      <c r="I98" s="7"/>
    </row>
    <row r="99" spans="1:12" ht="16.5" hidden="1" customHeight="1" outlineLevel="1">
      <c r="A99" s="2"/>
      <c r="B99" s="12" t="s">
        <v>135</v>
      </c>
      <c r="C99" s="17" t="s">
        <v>37</v>
      </c>
      <c r="D99" s="87"/>
      <c r="E99" s="14"/>
      <c r="F99" s="7"/>
      <c r="G99" s="7"/>
      <c r="H99" s="102"/>
      <c r="I99" s="7"/>
    </row>
    <row r="100" spans="1:12" ht="16.5" hidden="1" customHeight="1" outlineLevel="1">
      <c r="A100" s="127"/>
      <c r="B100" s="128" t="s">
        <v>119</v>
      </c>
      <c r="C100" s="17" t="s">
        <v>37</v>
      </c>
      <c r="D100" s="129">
        <v>0</v>
      </c>
      <c r="E100" s="130"/>
      <c r="F100" s="131"/>
      <c r="G100" s="131"/>
      <c r="H100" s="132"/>
      <c r="I100" s="131"/>
    </row>
    <row r="101" spans="1:12" ht="15.75" collapsed="1">
      <c r="A101" s="2" t="s">
        <v>136</v>
      </c>
      <c r="B101" s="3" t="s">
        <v>137</v>
      </c>
      <c r="C101" s="17" t="s">
        <v>37</v>
      </c>
      <c r="D101" s="87"/>
      <c r="E101" s="88"/>
      <c r="F101" s="9"/>
      <c r="G101" s="9"/>
      <c r="H101" s="7"/>
      <c r="I101" s="9"/>
    </row>
    <row r="102" spans="1:12" ht="15.75">
      <c r="A102" s="2"/>
      <c r="B102" s="8" t="s">
        <v>138</v>
      </c>
      <c r="C102" s="17" t="s">
        <v>37</v>
      </c>
      <c r="D102" s="6">
        <f>D103+D104+D105+D106+D107</f>
        <v>59037.070800000001</v>
      </c>
      <c r="E102" s="133">
        <f>E103+E104+E105+E106+E107</f>
        <v>56055.74</v>
      </c>
      <c r="F102" s="10">
        <f>ROUND(E102/D102*100,1)</f>
        <v>95</v>
      </c>
      <c r="G102" s="10">
        <f>E102-D102</f>
        <v>-2981.3308000000034</v>
      </c>
      <c r="H102" s="10">
        <f>H103+H104+H105+H106+H107</f>
        <v>58875</v>
      </c>
      <c r="I102" s="10">
        <f>ROUND(E102/H102*100,1)</f>
        <v>95.2</v>
      </c>
      <c r="J102" s="11" t="s">
        <v>139</v>
      </c>
    </row>
    <row r="103" spans="1:12" ht="15.75">
      <c r="A103" s="2"/>
      <c r="B103" s="119" t="s">
        <v>140</v>
      </c>
      <c r="C103" s="17" t="s">
        <v>37</v>
      </c>
      <c r="D103" s="34">
        <f>D93</f>
        <v>151.34280000000001</v>
      </c>
      <c r="E103" s="88">
        <f>E93</f>
        <v>0</v>
      </c>
      <c r="F103" s="9">
        <f>ROUND(E103/D103*100,1)</f>
        <v>0</v>
      </c>
      <c r="G103" s="9">
        <f>E103-D103</f>
        <v>-151.34280000000001</v>
      </c>
      <c r="H103" s="86">
        <f>H93</f>
        <v>1358</v>
      </c>
      <c r="I103" s="9">
        <f>ROUND(E103/H103*100,1)</f>
        <v>0</v>
      </c>
      <c r="J103" s="11" t="s">
        <v>139</v>
      </c>
    </row>
    <row r="104" spans="1:12" ht="17.25" customHeight="1">
      <c r="A104" s="2"/>
      <c r="B104" s="119" t="s">
        <v>141</v>
      </c>
      <c r="C104" s="17" t="s">
        <v>37</v>
      </c>
      <c r="D104" s="87"/>
      <c r="E104" s="88"/>
      <c r="F104" s="7"/>
      <c r="G104" s="7"/>
      <c r="H104" s="86"/>
      <c r="I104" s="9"/>
      <c r="J104" s="11"/>
    </row>
    <row r="105" spans="1:12" ht="17.25" customHeight="1">
      <c r="A105" s="2"/>
      <c r="B105" s="134" t="s">
        <v>142</v>
      </c>
      <c r="C105" s="17" t="s">
        <v>37</v>
      </c>
      <c r="D105" s="34">
        <f>D94</f>
        <v>0</v>
      </c>
      <c r="E105" s="34">
        <f>E94</f>
        <v>0</v>
      </c>
      <c r="F105" s="9"/>
      <c r="G105" s="7">
        <f>E105-D105</f>
        <v>0</v>
      </c>
      <c r="H105" s="86">
        <v>0</v>
      </c>
      <c r="I105" s="9"/>
      <c r="J105" s="11" t="s">
        <v>139</v>
      </c>
    </row>
    <row r="106" spans="1:12" ht="19.5" customHeight="1">
      <c r="A106" s="2"/>
      <c r="B106" s="119" t="s">
        <v>143</v>
      </c>
      <c r="C106" s="17" t="s">
        <v>37</v>
      </c>
      <c r="D106" s="91">
        <f>E106</f>
        <v>32588.35</v>
      </c>
      <c r="E106" s="14">
        <v>32588.35</v>
      </c>
      <c r="F106" s="9">
        <f>ROUND(E106/D106*100,1)</f>
        <v>100</v>
      </c>
      <c r="G106" s="135">
        <f>E106-D106</f>
        <v>0</v>
      </c>
      <c r="H106" s="86">
        <v>36205</v>
      </c>
      <c r="I106" s="9">
        <f>ROUND(E106/H106*100,1)</f>
        <v>90</v>
      </c>
      <c r="J106" s="11" t="s">
        <v>139</v>
      </c>
    </row>
    <row r="107" spans="1:12" ht="20.25" customHeight="1">
      <c r="A107" s="2"/>
      <c r="B107" s="136" t="s">
        <v>144</v>
      </c>
      <c r="C107" s="17" t="s">
        <v>37</v>
      </c>
      <c r="D107" s="6">
        <f>SUM(D108:D112)</f>
        <v>26297.378000000001</v>
      </c>
      <c r="E107" s="6">
        <f>SUM(E108:E112)</f>
        <v>23467.39</v>
      </c>
      <c r="F107" s="10">
        <f>ROUND(E107/D107*100,1)</f>
        <v>89.2</v>
      </c>
      <c r="G107" s="10">
        <f>E107-D107</f>
        <v>-2829.9880000000012</v>
      </c>
      <c r="H107" s="10">
        <f>SUM(H108:H112)</f>
        <v>21312</v>
      </c>
      <c r="I107" s="10">
        <f>IF(H107&gt;0,ROUND(E107/H107*100,1),0)</f>
        <v>110.1</v>
      </c>
      <c r="J107" s="11" t="s">
        <v>139</v>
      </c>
    </row>
    <row r="108" spans="1:12" ht="15.75">
      <c r="A108" s="2"/>
      <c r="B108" s="137" t="str">
        <f>'[1]1полугодие'!$A$245</f>
        <v xml:space="preserve">  - налог на имущ, по неиспольз.объектам Ангрен</v>
      </c>
      <c r="C108" s="17" t="s">
        <v>37</v>
      </c>
      <c r="D108" s="87">
        <v>0</v>
      </c>
      <c r="E108" s="88"/>
      <c r="F108" s="7"/>
      <c r="G108" s="7"/>
      <c r="H108" s="86"/>
      <c r="I108" s="7"/>
    </row>
    <row r="109" spans="1:12" s="19" customFormat="1" ht="15.75">
      <c r="A109" s="15"/>
      <c r="B109" s="30" t="s">
        <v>146</v>
      </c>
      <c r="C109" s="17" t="s">
        <v>37</v>
      </c>
      <c r="D109" s="87">
        <v>2051.2089999999998</v>
      </c>
      <c r="E109" s="88">
        <v>1902.79</v>
      </c>
      <c r="F109" s="18">
        <f>ROUND(E109/D109*100,1)</f>
        <v>92.8</v>
      </c>
      <c r="G109" s="18">
        <f>E109-D109</f>
        <v>-148.41899999999987</v>
      </c>
      <c r="H109" s="86">
        <v>4342</v>
      </c>
      <c r="I109" s="34">
        <f>ROUND(E109/H109*100,1)</f>
        <v>43.8</v>
      </c>
      <c r="J109" s="11" t="s">
        <v>139</v>
      </c>
      <c r="K109"/>
      <c r="L109"/>
    </row>
    <row r="110" spans="1:12" ht="15.75">
      <c r="A110" s="2"/>
      <c r="B110" s="138" t="s">
        <v>147</v>
      </c>
      <c r="C110" s="17" t="s">
        <v>37</v>
      </c>
      <c r="D110" s="87">
        <v>400.61099999999999</v>
      </c>
      <c r="E110" s="88">
        <v>463</v>
      </c>
      <c r="F110" s="9">
        <f>ROUND(E110/D110*100,1)</f>
        <v>115.6</v>
      </c>
      <c r="G110" s="9">
        <f>E110-D110</f>
        <v>62.38900000000001</v>
      </c>
      <c r="H110" s="86">
        <v>410</v>
      </c>
      <c r="I110" s="7">
        <f>ROUND(E110/H110*100,1)</f>
        <v>112.9</v>
      </c>
      <c r="J110" s="11" t="s">
        <v>139</v>
      </c>
    </row>
    <row r="111" spans="1:12" ht="15.75">
      <c r="A111" s="2"/>
      <c r="B111" s="138" t="s">
        <v>148</v>
      </c>
      <c r="C111" s="17" t="s">
        <v>37</v>
      </c>
      <c r="D111" s="87">
        <v>4195.585</v>
      </c>
      <c r="E111" s="88">
        <v>5754.51</v>
      </c>
      <c r="F111" s="9">
        <f>ROUND(E111/D111*100,1)</f>
        <v>137.19999999999999</v>
      </c>
      <c r="G111" s="9">
        <f>E111-D111</f>
        <v>1558.9250000000002</v>
      </c>
      <c r="H111" s="86">
        <v>5020</v>
      </c>
      <c r="I111" s="7">
        <f>ROUND(E111/H111*100,1)</f>
        <v>114.6</v>
      </c>
      <c r="J111" s="11" t="s">
        <v>139</v>
      </c>
    </row>
    <row r="112" spans="1:12" ht="15.75">
      <c r="A112" s="2"/>
      <c r="B112" s="138" t="s">
        <v>149</v>
      </c>
      <c r="C112" s="17" t="s">
        <v>37</v>
      </c>
      <c r="D112" s="87">
        <v>19649.973000000002</v>
      </c>
      <c r="E112" s="88">
        <v>15347.09</v>
      </c>
      <c r="F112" s="9">
        <f>ROUND(E112/D112*100,1)</f>
        <v>78.099999999999994</v>
      </c>
      <c r="G112" s="9">
        <f>E112-D112</f>
        <v>-4302.8830000000016</v>
      </c>
      <c r="H112" s="86">
        <v>11540</v>
      </c>
      <c r="I112" s="7">
        <f>ROUND(E112/H112*100,1)</f>
        <v>133</v>
      </c>
      <c r="J112" s="11" t="s">
        <v>139</v>
      </c>
    </row>
    <row r="113" spans="1:13" ht="21" customHeight="1">
      <c r="A113" s="2"/>
      <c r="B113" s="139" t="s">
        <v>150</v>
      </c>
      <c r="C113" s="17" t="s">
        <v>37</v>
      </c>
      <c r="D113" s="6">
        <f>SUM(D115:D121)</f>
        <v>18891.603999999999</v>
      </c>
      <c r="E113" s="6">
        <f>SUM(E115:E121)</f>
        <v>25285.43</v>
      </c>
      <c r="F113" s="10">
        <f>ROUND(E113/D113*100,1)</f>
        <v>133.80000000000001</v>
      </c>
      <c r="G113" s="10">
        <f>E113-D113</f>
        <v>6393.8260000000009</v>
      </c>
      <c r="H113" s="10">
        <f>SUM(H115:H121)</f>
        <v>29473</v>
      </c>
      <c r="I113" s="10">
        <f>ROUND(E113/H113*100,1)</f>
        <v>85.8</v>
      </c>
      <c r="J113" s="11" t="s">
        <v>139</v>
      </c>
    </row>
    <row r="114" spans="1:13" ht="15.75">
      <c r="A114" s="2"/>
      <c r="B114" s="2" t="s">
        <v>12</v>
      </c>
      <c r="C114" s="17" t="s">
        <v>37</v>
      </c>
      <c r="D114" s="87"/>
      <c r="E114" s="88"/>
      <c r="F114" s="7"/>
      <c r="G114" s="7"/>
      <c r="H114" s="102"/>
      <c r="I114" s="7"/>
    </row>
    <row r="115" spans="1:13" ht="21" hidden="1" customHeight="1" outlineLevel="1">
      <c r="A115" s="2"/>
      <c r="B115" s="140" t="s">
        <v>210</v>
      </c>
      <c r="C115" s="17" t="s">
        <v>37</v>
      </c>
      <c r="D115" s="91"/>
      <c r="E115" s="14"/>
      <c r="F115" s="9"/>
      <c r="G115" s="9">
        <f t="shared" ref="G115:G122" si="9">E115-D115</f>
        <v>0</v>
      </c>
      <c r="H115" s="86">
        <v>0</v>
      </c>
      <c r="I115" s="9" t="e">
        <f t="shared" ref="I115:I122" si="10">ROUND(E115/H115*100,1)</f>
        <v>#DIV/0!</v>
      </c>
      <c r="J115" s="11" t="s">
        <v>139</v>
      </c>
    </row>
    <row r="116" spans="1:13" ht="30" hidden="1" customHeight="1" outlineLevel="1">
      <c r="A116" s="2"/>
      <c r="B116" s="140" t="s">
        <v>211</v>
      </c>
      <c r="C116" s="17" t="s">
        <v>37</v>
      </c>
      <c r="D116" s="91"/>
      <c r="E116" s="14"/>
      <c r="F116" s="9"/>
      <c r="G116" s="9">
        <f t="shared" si="9"/>
        <v>0</v>
      </c>
      <c r="H116" s="86">
        <v>0</v>
      </c>
      <c r="I116" s="9" t="e">
        <f t="shared" si="10"/>
        <v>#DIV/0!</v>
      </c>
      <c r="J116" s="11" t="s">
        <v>139</v>
      </c>
    </row>
    <row r="117" spans="1:13" ht="15.75" collapsed="1">
      <c r="A117" s="2"/>
      <c r="B117" s="140" t="s">
        <v>204</v>
      </c>
      <c r="C117" s="17" t="s">
        <v>37</v>
      </c>
      <c r="D117" s="18">
        <f>E117</f>
        <v>17355.46</v>
      </c>
      <c r="E117" s="18">
        <v>17355.46</v>
      </c>
      <c r="F117" s="9">
        <f>ROUND(E117/D117*100,1)</f>
        <v>100</v>
      </c>
      <c r="G117" s="9">
        <f t="shared" si="9"/>
        <v>0</v>
      </c>
      <c r="H117" s="86">
        <v>28227</v>
      </c>
      <c r="I117" s="9">
        <f t="shared" si="10"/>
        <v>61.5</v>
      </c>
      <c r="J117" s="11" t="s">
        <v>139</v>
      </c>
    </row>
    <row r="118" spans="1:13" ht="34.5" customHeight="1">
      <c r="A118" s="127"/>
      <c r="B118" s="2" t="e">
        <f>#REF!</f>
        <v>#REF!</v>
      </c>
      <c r="C118" s="17" t="s">
        <v>37</v>
      </c>
      <c r="D118" s="91">
        <f>845.15+690.994</f>
        <v>1536.144</v>
      </c>
      <c r="E118" s="141">
        <v>1776.84</v>
      </c>
      <c r="F118" s="9">
        <f>ROUND(E118/D118*100,1)</f>
        <v>115.7</v>
      </c>
      <c r="G118" s="35">
        <f>E118-D118</f>
        <v>240.69599999999991</v>
      </c>
      <c r="H118" s="86">
        <v>1219</v>
      </c>
      <c r="I118" s="9">
        <f t="shared" si="10"/>
        <v>145.80000000000001</v>
      </c>
      <c r="J118" s="11" t="s">
        <v>139</v>
      </c>
    </row>
    <row r="119" spans="1:13" ht="36.75" hidden="1" customHeight="1" outlineLevel="1">
      <c r="A119" s="2"/>
      <c r="B119" s="2" t="s">
        <v>154</v>
      </c>
      <c r="C119" s="17" t="s">
        <v>37</v>
      </c>
      <c r="D119" s="91"/>
      <c r="E119" s="14"/>
      <c r="F119" s="9" t="e">
        <f t="shared" ref="F119:F120" si="11">ROUND(E119/D119*100,1)</f>
        <v>#DIV/0!</v>
      </c>
      <c r="G119" s="35">
        <f t="shared" si="9"/>
        <v>0</v>
      </c>
      <c r="H119" s="86"/>
      <c r="I119" s="9"/>
      <c r="J119" s="11" t="s">
        <v>139</v>
      </c>
      <c r="M119">
        <f>15287.1+3820.2</f>
        <v>19107.3</v>
      </c>
    </row>
    <row r="120" spans="1:13" ht="36" hidden="1" customHeight="1" outlineLevel="1">
      <c r="A120" s="2"/>
      <c r="B120" s="2" t="s">
        <v>155</v>
      </c>
      <c r="C120" s="17" t="s">
        <v>37</v>
      </c>
      <c r="D120" s="18"/>
      <c r="E120" s="14"/>
      <c r="F120" s="9" t="e">
        <f t="shared" si="11"/>
        <v>#DIV/0!</v>
      </c>
      <c r="G120" s="18">
        <f t="shared" si="9"/>
        <v>0</v>
      </c>
      <c r="H120" s="86"/>
      <c r="I120" s="9" t="e">
        <f t="shared" si="10"/>
        <v>#DIV/0!</v>
      </c>
      <c r="J120" s="11" t="s">
        <v>139</v>
      </c>
    </row>
    <row r="121" spans="1:13" ht="24" customHeight="1" collapsed="1">
      <c r="A121" s="2"/>
      <c r="B121" s="150" t="s">
        <v>219</v>
      </c>
      <c r="C121" s="17" t="s">
        <v>37</v>
      </c>
      <c r="D121" s="91"/>
      <c r="E121" s="14">
        <v>6153.13</v>
      </c>
      <c r="F121" s="9"/>
      <c r="G121" s="18">
        <f t="shared" si="9"/>
        <v>6153.13</v>
      </c>
      <c r="H121" s="86">
        <v>27</v>
      </c>
      <c r="I121" s="9"/>
      <c r="J121" s="11"/>
    </row>
    <row r="122" spans="1:13" ht="15.75">
      <c r="A122" s="2"/>
      <c r="B122" s="3" t="s">
        <v>156</v>
      </c>
      <c r="C122" s="17" t="s">
        <v>37</v>
      </c>
      <c r="D122" s="6">
        <f>D102+D113</f>
        <v>77928.674800000008</v>
      </c>
      <c r="E122" s="6">
        <f>E102+E113</f>
        <v>81341.17</v>
      </c>
      <c r="F122" s="10">
        <f>ROUND(E122/D122*100,1)</f>
        <v>104.4</v>
      </c>
      <c r="G122" s="10">
        <f t="shared" si="9"/>
        <v>3412.4951999999903</v>
      </c>
      <c r="H122" s="10">
        <f>H102+H113</f>
        <v>88348</v>
      </c>
      <c r="I122" s="10">
        <f t="shared" si="10"/>
        <v>92.1</v>
      </c>
      <c r="J122" s="11" t="s">
        <v>139</v>
      </c>
    </row>
    <row r="123" spans="1:13" ht="15.75">
      <c r="A123" s="2" t="s">
        <v>157</v>
      </c>
      <c r="B123" s="3" t="s">
        <v>158</v>
      </c>
      <c r="C123" s="17" t="s">
        <v>37</v>
      </c>
      <c r="D123" s="142" t="s">
        <v>73</v>
      </c>
      <c r="E123" s="133" t="s">
        <v>73</v>
      </c>
      <c r="F123" s="10" t="s">
        <v>73</v>
      </c>
      <c r="G123" s="10" t="s">
        <v>73</v>
      </c>
      <c r="H123" s="10" t="s">
        <v>73</v>
      </c>
      <c r="I123" s="10" t="s">
        <v>73</v>
      </c>
    </row>
    <row r="124" spans="1:13" ht="27" customHeight="1">
      <c r="A124" s="2"/>
      <c r="B124" s="143" t="s">
        <v>159</v>
      </c>
      <c r="C124" s="17" t="s">
        <v>37</v>
      </c>
      <c r="D124" s="142" t="s">
        <v>73</v>
      </c>
      <c r="E124" s="133" t="s">
        <v>73</v>
      </c>
      <c r="F124" s="10" t="s">
        <v>73</v>
      </c>
      <c r="G124" s="10" t="s">
        <v>73</v>
      </c>
      <c r="H124" s="9" t="s">
        <v>73</v>
      </c>
      <c r="I124" s="10" t="s">
        <v>73</v>
      </c>
      <c r="J124" s="36"/>
      <c r="K124" s="1"/>
    </row>
    <row r="125" spans="1:13" ht="18" hidden="1" customHeight="1" outlineLevel="1">
      <c r="A125" s="2"/>
      <c r="B125" s="12" t="s">
        <v>160</v>
      </c>
      <c r="C125" s="17" t="s">
        <v>37</v>
      </c>
      <c r="D125" s="91"/>
      <c r="E125" s="14"/>
      <c r="F125" s="9"/>
      <c r="G125" s="9"/>
      <c r="H125" s="9"/>
      <c r="I125" s="9"/>
    </row>
    <row r="126" spans="1:13" ht="24" customHeight="1" collapsed="1">
      <c r="A126" s="2" t="s">
        <v>161</v>
      </c>
      <c r="B126" s="3" t="s">
        <v>162</v>
      </c>
      <c r="C126" s="17" t="s">
        <v>37</v>
      </c>
      <c r="D126" s="6">
        <f>SUM(D128:D131)</f>
        <v>460529.38299999997</v>
      </c>
      <c r="E126" s="6">
        <f>SUM(E128:E131)</f>
        <v>398805.10000000003</v>
      </c>
      <c r="F126" s="10">
        <f>ROUND(E126/D126*100,1)</f>
        <v>86.6</v>
      </c>
      <c r="G126" s="10">
        <f t="shared" ref="G126:G147" si="12">E126-D126</f>
        <v>-61724.282999999938</v>
      </c>
      <c r="H126" s="10">
        <f>SUM(H128:H131)</f>
        <v>349811.20000000001</v>
      </c>
      <c r="I126" s="10">
        <f>ROUND(E126/H126*100,1)</f>
        <v>114</v>
      </c>
      <c r="J126" s="11" t="s">
        <v>139</v>
      </c>
      <c r="M126" s="11"/>
    </row>
    <row r="127" spans="1:13" ht="15.75">
      <c r="A127" s="2"/>
      <c r="B127" s="2" t="s">
        <v>163</v>
      </c>
      <c r="C127" s="17" t="s">
        <v>37</v>
      </c>
      <c r="D127" s="18"/>
      <c r="E127" s="18"/>
      <c r="F127" s="9"/>
      <c r="G127" s="9">
        <f t="shared" si="12"/>
        <v>0</v>
      </c>
      <c r="H127" s="9"/>
      <c r="I127" s="9"/>
      <c r="M127" s="11"/>
    </row>
    <row r="128" spans="1:13" ht="19.5" customHeight="1">
      <c r="A128" s="2"/>
      <c r="B128" s="119" t="s">
        <v>164</v>
      </c>
      <c r="C128" s="17" t="s">
        <v>37</v>
      </c>
      <c r="D128" s="91">
        <v>184676.986</v>
      </c>
      <c r="E128" s="14">
        <v>152073.79999999999</v>
      </c>
      <c r="F128" s="18">
        <f>ROUND(E128/D128*100,1)</f>
        <v>82.3</v>
      </c>
      <c r="G128" s="18">
        <f t="shared" si="12"/>
        <v>-32603.186000000016</v>
      </c>
      <c r="H128" s="86">
        <v>139835.70000000001</v>
      </c>
      <c r="I128" s="9">
        <f>ROUND(E128/H128*100,1)</f>
        <v>108.8</v>
      </c>
      <c r="J128" s="11" t="s">
        <v>139</v>
      </c>
    </row>
    <row r="129" spans="1:13" ht="18" customHeight="1">
      <c r="A129" s="2"/>
      <c r="B129" s="119" t="s">
        <v>165</v>
      </c>
      <c r="C129" s="17" t="s">
        <v>37</v>
      </c>
      <c r="D129" s="91">
        <v>167339.79699999999</v>
      </c>
      <c r="E129" s="14">
        <v>118110.1</v>
      </c>
      <c r="F129" s="18">
        <f>ROUND(E129/D129*100,1)</f>
        <v>70.599999999999994</v>
      </c>
      <c r="G129" s="18">
        <f t="shared" si="12"/>
        <v>-49229.696999999986</v>
      </c>
      <c r="H129" s="86">
        <v>104109.5</v>
      </c>
      <c r="I129" s="9">
        <f>ROUND(E129/H129*100,1)</f>
        <v>113.4</v>
      </c>
      <c r="J129" s="11" t="s">
        <v>139</v>
      </c>
    </row>
    <row r="130" spans="1:13" ht="31.5">
      <c r="A130" s="2"/>
      <c r="B130" s="119" t="s">
        <v>166</v>
      </c>
      <c r="C130" s="17" t="s">
        <v>37</v>
      </c>
      <c r="D130" s="91">
        <v>88480.028000000006</v>
      </c>
      <c r="E130" s="14">
        <v>108206.9</v>
      </c>
      <c r="F130" s="18">
        <f>ROUND(E130/D130*100,1)</f>
        <v>122.3</v>
      </c>
      <c r="G130" s="18">
        <f t="shared" si="12"/>
        <v>19726.871999999988</v>
      </c>
      <c r="H130" s="86">
        <v>86863.2</v>
      </c>
      <c r="I130" s="9">
        <f>ROUND(E130/H130*100,1)</f>
        <v>124.6</v>
      </c>
      <c r="J130" s="11" t="s">
        <v>139</v>
      </c>
    </row>
    <row r="131" spans="1:13" ht="15.75">
      <c r="A131" s="2"/>
      <c r="B131" s="119" t="s">
        <v>167</v>
      </c>
      <c r="C131" s="17" t="s">
        <v>37</v>
      </c>
      <c r="D131" s="91">
        <v>20032.572</v>
      </c>
      <c r="E131" s="14">
        <v>20414.3</v>
      </c>
      <c r="F131" s="18">
        <f>ROUND(E131/D131*100,1)</f>
        <v>101.9</v>
      </c>
      <c r="G131" s="18">
        <f t="shared" si="12"/>
        <v>381.72799999999916</v>
      </c>
      <c r="H131" s="86">
        <v>19002.8</v>
      </c>
      <c r="I131" s="9">
        <f>ROUND(E131/H131*100,1)</f>
        <v>107.4</v>
      </c>
      <c r="J131" s="11" t="s">
        <v>139</v>
      </c>
    </row>
    <row r="132" spans="1:13" ht="23.25" customHeight="1">
      <c r="A132" s="13" t="s">
        <v>168</v>
      </c>
      <c r="B132" s="144" t="s">
        <v>169</v>
      </c>
      <c r="C132" s="17" t="s">
        <v>37</v>
      </c>
      <c r="D132" s="91"/>
      <c r="E132" s="133"/>
      <c r="F132" s="6"/>
      <c r="G132" s="6">
        <f>E132-D132</f>
        <v>0</v>
      </c>
      <c r="H132" s="86">
        <v>2498899</v>
      </c>
      <c r="I132" s="10">
        <f>IF(H132&gt;0,ROUND(E132/H132*100,1),0)</f>
        <v>0</v>
      </c>
      <c r="K132" t="s">
        <v>170</v>
      </c>
    </row>
    <row r="133" spans="1:13" ht="15.75">
      <c r="A133" s="2"/>
      <c r="B133" s="2" t="s">
        <v>12</v>
      </c>
      <c r="C133" s="17" t="s">
        <v>37</v>
      </c>
      <c r="D133" s="91"/>
      <c r="E133" s="14"/>
      <c r="F133" s="9"/>
      <c r="G133" s="9">
        <f t="shared" si="12"/>
        <v>0</v>
      </c>
      <c r="H133" s="86"/>
      <c r="I133" s="9"/>
    </row>
    <row r="134" spans="1:13" ht="24.75" customHeight="1">
      <c r="A134" s="2"/>
      <c r="B134" s="8" t="s">
        <v>171</v>
      </c>
      <c r="C134" s="17" t="s">
        <v>37</v>
      </c>
      <c r="D134" s="87"/>
      <c r="E134" s="88">
        <v>2576535.9700000002</v>
      </c>
      <c r="F134" s="7"/>
      <c r="G134" s="7">
        <f t="shared" si="12"/>
        <v>2576535.9700000002</v>
      </c>
      <c r="H134" s="86">
        <v>1986193</v>
      </c>
      <c r="I134" s="7">
        <f>IF(H134&gt;0,ROUND(E134/H134*100,1),0)</f>
        <v>129.69999999999999</v>
      </c>
      <c r="K134" t="s">
        <v>170</v>
      </c>
      <c r="L134" t="s">
        <v>170</v>
      </c>
      <c r="M134" t="s">
        <v>172</v>
      </c>
    </row>
    <row r="135" spans="1:13" ht="15.75">
      <c r="A135" s="2"/>
      <c r="B135" s="2" t="s">
        <v>163</v>
      </c>
      <c r="C135" s="17" t="s">
        <v>37</v>
      </c>
      <c r="D135" s="91"/>
      <c r="E135" s="14"/>
      <c r="F135" s="9"/>
      <c r="G135" s="9">
        <f t="shared" si="12"/>
        <v>0</v>
      </c>
      <c r="H135" s="86"/>
      <c r="I135" s="9"/>
    </row>
    <row r="136" spans="1:13" ht="15.75">
      <c r="A136" s="2"/>
      <c r="B136" s="119" t="s">
        <v>173</v>
      </c>
      <c r="C136" s="17" t="s">
        <v>37</v>
      </c>
      <c r="D136" s="91"/>
      <c r="E136" s="14">
        <v>1291825.24</v>
      </c>
      <c r="F136" s="9"/>
      <c r="G136" s="9">
        <f t="shared" si="12"/>
        <v>1291825.24</v>
      </c>
      <c r="H136" s="86">
        <v>1113123</v>
      </c>
      <c r="I136" s="9">
        <f>IF(H136&gt;0,ROUND(E136/H136*100,1),0)</f>
        <v>116.1</v>
      </c>
      <c r="K136" t="s">
        <v>170</v>
      </c>
      <c r="L136" t="s">
        <v>170</v>
      </c>
      <c r="M136" t="s">
        <v>174</v>
      </c>
    </row>
    <row r="137" spans="1:13" ht="15.75">
      <c r="A137" s="2"/>
      <c r="B137" s="119" t="s">
        <v>175</v>
      </c>
      <c r="C137" s="17" t="s">
        <v>37</v>
      </c>
      <c r="D137" s="91"/>
      <c r="E137" s="14">
        <v>274.89999999999998</v>
      </c>
      <c r="F137" s="9"/>
      <c r="G137" s="9">
        <f t="shared" si="12"/>
        <v>274.89999999999998</v>
      </c>
      <c r="H137" s="86">
        <v>354</v>
      </c>
      <c r="I137" s="9">
        <f>IF(H137&gt;0,ROUND(E137/H137*100,1),0)</f>
        <v>77.7</v>
      </c>
      <c r="K137" t="s">
        <v>170</v>
      </c>
      <c r="L137" t="s">
        <v>170</v>
      </c>
      <c r="M137" t="s">
        <v>176</v>
      </c>
    </row>
    <row r="138" spans="1:13" ht="15.75">
      <c r="A138" s="2"/>
      <c r="B138" s="12" t="s">
        <v>177</v>
      </c>
      <c r="C138" s="17" t="s">
        <v>37</v>
      </c>
      <c r="D138" s="91"/>
      <c r="E138" s="14">
        <v>954710.05</v>
      </c>
      <c r="F138" s="9"/>
      <c r="G138" s="9">
        <f t="shared" si="12"/>
        <v>954710.05</v>
      </c>
      <c r="H138" s="86">
        <v>512706</v>
      </c>
      <c r="I138" s="9">
        <f>IF(H138&gt;0,ROUND(E138/H138*100,1),0)</f>
        <v>186.2</v>
      </c>
      <c r="K138" t="s">
        <v>170</v>
      </c>
      <c r="L138" t="s">
        <v>170</v>
      </c>
      <c r="M138" t="s">
        <v>178</v>
      </c>
    </row>
    <row r="139" spans="1:13" ht="15.75">
      <c r="A139" s="2"/>
      <c r="B139" s="2" t="s">
        <v>52</v>
      </c>
      <c r="C139" s="17" t="s">
        <v>37</v>
      </c>
      <c r="D139" s="91"/>
      <c r="E139" s="14"/>
      <c r="F139" s="9"/>
      <c r="G139" s="9">
        <f t="shared" si="12"/>
        <v>0</v>
      </c>
      <c r="H139" s="86"/>
      <c r="I139" s="9"/>
      <c r="K139" t="s">
        <v>170</v>
      </c>
      <c r="L139" t="s">
        <v>170</v>
      </c>
    </row>
    <row r="140" spans="1:13" ht="20.25" customHeight="1">
      <c r="A140" s="145"/>
      <c r="B140" s="146" t="s">
        <v>179</v>
      </c>
      <c r="C140" s="17" t="s">
        <v>37</v>
      </c>
      <c r="D140" s="147"/>
      <c r="E140" s="148">
        <v>237448.23</v>
      </c>
      <c r="F140" s="9"/>
      <c r="G140" s="149">
        <f t="shared" si="12"/>
        <v>237448.23</v>
      </c>
      <c r="H140" s="86">
        <v>184203</v>
      </c>
      <c r="I140" s="9">
        <f>IF(H140&gt;0,ROUND(E140/H140*100,1),0)</f>
        <v>128.9</v>
      </c>
      <c r="K140" t="s">
        <v>170</v>
      </c>
      <c r="L140" t="s">
        <v>170</v>
      </c>
      <c r="M140" t="s">
        <v>180</v>
      </c>
    </row>
    <row r="141" spans="1:13" ht="15.75">
      <c r="A141" s="2"/>
      <c r="B141" s="2" t="s">
        <v>163</v>
      </c>
      <c r="C141" s="17" t="s">
        <v>37</v>
      </c>
      <c r="D141" s="91"/>
      <c r="E141" s="14"/>
      <c r="F141" s="9"/>
      <c r="G141" s="9">
        <f t="shared" si="12"/>
        <v>0</v>
      </c>
      <c r="H141" s="86"/>
      <c r="I141" s="9"/>
      <c r="K141" t="s">
        <v>170</v>
      </c>
      <c r="L141" t="s">
        <v>170</v>
      </c>
    </row>
    <row r="142" spans="1:13" ht="20.25" customHeight="1">
      <c r="A142" s="2"/>
      <c r="B142" s="119" t="s">
        <v>181</v>
      </c>
      <c r="C142" s="17" t="s">
        <v>37</v>
      </c>
      <c r="D142" s="91"/>
      <c r="E142" s="14">
        <v>108761.42</v>
      </c>
      <c r="F142" s="9"/>
      <c r="G142" s="9">
        <f t="shared" si="12"/>
        <v>108761.42</v>
      </c>
      <c r="H142" s="86">
        <v>77869</v>
      </c>
      <c r="I142" s="9">
        <f>IF(H142&gt;0,ROUND(E142/H142*100,1),0)</f>
        <v>139.69999999999999</v>
      </c>
      <c r="K142" t="s">
        <v>170</v>
      </c>
      <c r="L142" t="s">
        <v>170</v>
      </c>
      <c r="M142" t="s">
        <v>182</v>
      </c>
    </row>
    <row r="143" spans="1:13" ht="15.75">
      <c r="A143" s="2"/>
      <c r="B143" s="119" t="s">
        <v>183</v>
      </c>
      <c r="C143" s="17" t="s">
        <v>37</v>
      </c>
      <c r="D143" s="91"/>
      <c r="E143" s="14">
        <v>109975.14</v>
      </c>
      <c r="F143" s="9"/>
      <c r="G143" s="9">
        <f t="shared" si="12"/>
        <v>109975.14</v>
      </c>
      <c r="H143" s="86">
        <v>102210</v>
      </c>
      <c r="I143" s="9">
        <f>IF(H143&gt;0,ROUND(E143/H143*100,1),0)</f>
        <v>107.6</v>
      </c>
      <c r="K143" t="s">
        <v>170</v>
      </c>
      <c r="L143" t="s">
        <v>170</v>
      </c>
      <c r="M143" t="s">
        <v>184</v>
      </c>
    </row>
    <row r="144" spans="1:13" ht="15.75">
      <c r="A144" s="2"/>
      <c r="B144" s="146" t="s">
        <v>185</v>
      </c>
      <c r="C144" s="17" t="s">
        <v>37</v>
      </c>
      <c r="D144" s="91"/>
      <c r="E144" s="14">
        <v>1126.5</v>
      </c>
      <c r="F144" s="9"/>
      <c r="G144" s="9">
        <f t="shared" si="12"/>
        <v>1126.5</v>
      </c>
      <c r="H144" s="86">
        <v>7861</v>
      </c>
      <c r="I144" s="9">
        <f>IF(H144&gt;0,ROUND(E144/H144*100,1),0)</f>
        <v>14.3</v>
      </c>
      <c r="K144" t="s">
        <v>170</v>
      </c>
      <c r="L144" t="s">
        <v>170</v>
      </c>
      <c r="M144" t="s">
        <v>186</v>
      </c>
    </row>
    <row r="145" spans="1:12" ht="18" customHeight="1">
      <c r="A145" s="2"/>
      <c r="B145" s="2" t="s">
        <v>163</v>
      </c>
      <c r="C145" s="17" t="s">
        <v>37</v>
      </c>
      <c r="D145" s="91"/>
      <c r="E145" s="14"/>
      <c r="F145" s="9"/>
      <c r="G145" s="9">
        <f t="shared" si="12"/>
        <v>0</v>
      </c>
      <c r="H145" s="86"/>
      <c r="I145" s="9"/>
      <c r="K145" t="s">
        <v>170</v>
      </c>
      <c r="L145" t="s">
        <v>170</v>
      </c>
    </row>
    <row r="146" spans="1:12" ht="15.75">
      <c r="A146" s="2"/>
      <c r="B146" s="138" t="s">
        <v>187</v>
      </c>
      <c r="C146" s="17" t="s">
        <v>37</v>
      </c>
      <c r="D146" s="91"/>
      <c r="E146" s="14">
        <v>76.7</v>
      </c>
      <c r="F146" s="9"/>
      <c r="G146" s="9">
        <f t="shared" si="12"/>
        <v>76.7</v>
      </c>
      <c r="H146" s="86">
        <v>177</v>
      </c>
      <c r="I146" s="9">
        <f>IF(H146&gt;0,ROUND(E146/H146*100,1),0)</f>
        <v>43.3</v>
      </c>
      <c r="K146" t="s">
        <v>170</v>
      </c>
    </row>
    <row r="147" spans="1:12" ht="18.75" hidden="1" customHeight="1" outlineLevel="1">
      <c r="A147" s="2" t="s">
        <v>188</v>
      </c>
      <c r="B147" s="12" t="s">
        <v>189</v>
      </c>
      <c r="C147" s="17" t="s">
        <v>37</v>
      </c>
      <c r="D147" s="91"/>
      <c r="E147" s="14"/>
      <c r="F147" s="9"/>
      <c r="G147" s="9">
        <f t="shared" si="12"/>
        <v>0</v>
      </c>
      <c r="H147" s="86"/>
      <c r="I147" s="9">
        <f>IF(H147&gt;0,ROUND(E147/H147*100,1),0)</f>
        <v>0</v>
      </c>
      <c r="K147" t="s">
        <v>170</v>
      </c>
    </row>
    <row r="148" spans="1:12" ht="15.75" collapsed="1">
      <c r="A148" s="2" t="s">
        <v>213</v>
      </c>
      <c r="B148" s="12" t="s">
        <v>190</v>
      </c>
      <c r="C148" s="17" t="s">
        <v>37</v>
      </c>
      <c r="D148" s="91"/>
      <c r="E148" s="14">
        <v>92277.5</v>
      </c>
      <c r="F148" s="9"/>
      <c r="G148" s="9"/>
      <c r="H148" s="86">
        <v>61783</v>
      </c>
      <c r="I148" s="9">
        <f>ROUND(E148/H148*100,1)</f>
        <v>149.4</v>
      </c>
      <c r="K148" t="s">
        <v>170</v>
      </c>
      <c r="L148" t="s">
        <v>191</v>
      </c>
    </row>
    <row r="149" spans="1:12" ht="15.75" hidden="1" outlineLevel="1">
      <c r="A149" s="2"/>
      <c r="B149" s="2" t="s">
        <v>12</v>
      </c>
      <c r="C149" s="17" t="s">
        <v>37</v>
      </c>
      <c r="D149" s="91"/>
      <c r="E149" s="14"/>
      <c r="F149" s="9"/>
      <c r="G149" s="9"/>
      <c r="H149" s="86"/>
      <c r="I149" s="9"/>
      <c r="K149" t="s">
        <v>170</v>
      </c>
    </row>
    <row r="150" spans="1:12" ht="15.75" hidden="1" outlineLevel="1">
      <c r="A150" s="2"/>
      <c r="B150" s="12" t="s">
        <v>192</v>
      </c>
      <c r="C150" s="17" t="s">
        <v>37</v>
      </c>
      <c r="D150" s="91"/>
      <c r="E150" s="14"/>
      <c r="F150" s="9"/>
      <c r="G150" s="9"/>
      <c r="H150" s="86"/>
      <c r="I150" s="9"/>
      <c r="K150" t="s">
        <v>170</v>
      </c>
    </row>
    <row r="151" spans="1:12" ht="15.75" hidden="1" outlineLevel="1">
      <c r="A151" s="2"/>
      <c r="B151" s="12" t="s">
        <v>193</v>
      </c>
      <c r="C151" s="17" t="s">
        <v>37</v>
      </c>
      <c r="D151" s="91"/>
      <c r="E151" s="14"/>
      <c r="F151" s="9"/>
      <c r="G151" s="9"/>
      <c r="H151" s="86"/>
      <c r="I151" s="9" t="e">
        <f>ROUND(E151/H151*100,1)</f>
        <v>#DIV/0!</v>
      </c>
      <c r="K151" t="s">
        <v>170</v>
      </c>
    </row>
    <row r="152" spans="1:12" ht="15.75" collapsed="1">
      <c r="A152" s="2" t="s">
        <v>214</v>
      </c>
      <c r="B152" s="12" t="s">
        <v>194</v>
      </c>
      <c r="C152" s="17" t="s">
        <v>37</v>
      </c>
      <c r="D152" s="91"/>
      <c r="E152" s="14">
        <v>263826.07</v>
      </c>
      <c r="F152" s="9"/>
      <c r="G152" s="9"/>
      <c r="H152" s="86">
        <v>163010</v>
      </c>
      <c r="I152" s="9">
        <f>ROUND(E152/H152*100,1)</f>
        <v>161.80000000000001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40"/>
      <c r="E153" s="40"/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40"/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40"/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40"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40"/>
      <c r="F159" s="40"/>
      <c r="G159" s="40"/>
      <c r="H159" s="41"/>
      <c r="I159" s="40" t="e">
        <f>ROUND(E159/H159*100,1)</f>
        <v>#DIV/0!</v>
      </c>
    </row>
    <row r="160" spans="1:12" ht="68.25" customHeight="1" collapsed="1">
      <c r="E160" s="11"/>
      <c r="H160" s="44"/>
    </row>
    <row r="161" spans="1:9" ht="37.5">
      <c r="A161" s="32"/>
      <c r="B161" s="45" t="s">
        <v>221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>
      <c r="A165" s="32"/>
      <c r="B165" s="46" t="s">
        <v>206</v>
      </c>
      <c r="C165" s="46"/>
      <c r="D165" s="46"/>
      <c r="E165" s="46"/>
      <c r="F165" s="48"/>
      <c r="G165" s="46" t="s">
        <v>220</v>
      </c>
      <c r="H165" s="46"/>
      <c r="I165" s="48"/>
    </row>
    <row r="166" spans="1:9" ht="18.75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>
      <c r="A167" s="32"/>
      <c r="B167" s="46" t="s">
        <v>215</v>
      </c>
      <c r="C167" s="46"/>
      <c r="D167" s="46"/>
      <c r="E167" s="46"/>
      <c r="F167" s="48"/>
      <c r="G167" s="46" t="s">
        <v>216</v>
      </c>
      <c r="H167" s="46"/>
      <c r="I167" s="48"/>
    </row>
    <row r="168" spans="1:9" ht="18.75">
      <c r="A168" s="32"/>
      <c r="B168" s="46"/>
      <c r="C168" s="46"/>
      <c r="D168" s="46"/>
      <c r="E168" s="46"/>
      <c r="F168" s="48"/>
      <c r="G168" s="46"/>
      <c r="H168" s="46"/>
      <c r="I168" s="48"/>
    </row>
    <row r="169" spans="1:9" ht="18.75">
      <c r="A169" s="32"/>
      <c r="B169" s="46"/>
      <c r="C169" s="46"/>
      <c r="D169" s="46"/>
      <c r="E169" s="46"/>
      <c r="F169" s="48"/>
      <c r="G169" s="46"/>
      <c r="H169" s="46"/>
      <c r="I169" s="48"/>
    </row>
    <row r="170" spans="1:9" ht="15.75">
      <c r="B170" s="49"/>
      <c r="C170" s="49"/>
      <c r="D170" s="49"/>
      <c r="E170" s="49"/>
      <c r="G170" s="49"/>
    </row>
    <row r="171" spans="1:9" ht="18.75">
      <c r="B171" s="46"/>
      <c r="C171" s="49"/>
      <c r="D171" s="49"/>
      <c r="E171" s="49"/>
      <c r="G171" s="49"/>
    </row>
    <row r="172" spans="1:9" ht="15.75">
      <c r="B172" s="49"/>
      <c r="C172" s="49"/>
      <c r="D172" s="49"/>
      <c r="E172" s="49"/>
      <c r="G172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.19685039370078741" top="0.51181102362204722" bottom="0.15748031496062992" header="0.15748031496062992" footer="0.11811023622047245"/>
  <pageSetup paperSize="9" scale="70" orientation="portrait" blackAndWhite="1" r:id="rId1"/>
  <headerFooter alignWithMargins="0"/>
  <rowBreaks count="1" manualBreakCount="1">
    <brk id="92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2"/>
  <sheetViews>
    <sheetView showZeros="0" view="pageBreakPreview" topLeftCell="B107" zoomScale="90" zoomScaleNormal="100" zoomScaleSheetLayoutView="90" workbookViewId="0">
      <pane xSplit="1" topLeftCell="C1" activePane="topRight" state="frozen"/>
      <selection activeCell="B1" sqref="B1"/>
      <selection pane="topRight" activeCell="B123" sqref="B123"/>
    </sheetView>
  </sheetViews>
  <sheetFormatPr defaultRowHeight="12.75" outlineLevelRow="1" outlineLevelCol="1"/>
  <cols>
    <col min="1" max="1" width="3.85546875" hidden="1" customWidth="1" outlineLevel="1"/>
    <col min="2" max="2" width="59.140625" customWidth="1" collapsed="1"/>
    <col min="3" max="3" width="10" customWidth="1"/>
    <col min="4" max="4" width="11.85546875" customWidth="1"/>
    <col min="5" max="5" width="12.42578125" customWidth="1"/>
    <col min="6" max="6" width="12.140625" customWidth="1"/>
    <col min="7" max="7" width="12" customWidth="1"/>
    <col min="8" max="8" width="12.42578125" customWidth="1"/>
    <col min="9" max="9" width="12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3" width="9.140625" hidden="1" customWidth="1" outlineLevel="1"/>
    <col min="14" max="14" width="1" hidden="1" customWidth="1" outlineLevel="1"/>
    <col min="15" max="15" width="9.140625" collapsed="1"/>
    <col min="257" max="257" width="3.85546875" bestFit="1" customWidth="1"/>
    <col min="258" max="258" width="61.5703125" customWidth="1"/>
    <col min="259" max="259" width="10" customWidth="1"/>
    <col min="260" max="260" width="11.85546875" customWidth="1"/>
    <col min="261" max="261" width="12.42578125" customWidth="1"/>
    <col min="262" max="262" width="9.7109375" customWidth="1"/>
    <col min="263" max="263" width="12" customWidth="1"/>
    <col min="264" max="264" width="13.28515625" customWidth="1"/>
    <col min="265" max="265" width="11.140625" customWidth="1"/>
    <col min="266" max="270" width="0" hidden="1" customWidth="1"/>
    <col min="513" max="513" width="3.85546875" bestFit="1" customWidth="1"/>
    <col min="514" max="514" width="61.5703125" customWidth="1"/>
    <col min="515" max="515" width="10" customWidth="1"/>
    <col min="516" max="516" width="11.85546875" customWidth="1"/>
    <col min="517" max="517" width="12.42578125" customWidth="1"/>
    <col min="518" max="518" width="9.7109375" customWidth="1"/>
    <col min="519" max="519" width="12" customWidth="1"/>
    <col min="520" max="520" width="13.28515625" customWidth="1"/>
    <col min="521" max="521" width="11.140625" customWidth="1"/>
    <col min="522" max="526" width="0" hidden="1" customWidth="1"/>
    <col min="769" max="769" width="3.85546875" bestFit="1" customWidth="1"/>
    <col min="770" max="770" width="61.5703125" customWidth="1"/>
    <col min="771" max="771" width="10" customWidth="1"/>
    <col min="772" max="772" width="11.85546875" customWidth="1"/>
    <col min="773" max="773" width="12.42578125" customWidth="1"/>
    <col min="774" max="774" width="9.7109375" customWidth="1"/>
    <col min="775" max="775" width="12" customWidth="1"/>
    <col min="776" max="776" width="13.28515625" customWidth="1"/>
    <col min="777" max="777" width="11.140625" customWidth="1"/>
    <col min="778" max="782" width="0" hidden="1" customWidth="1"/>
    <col min="1025" max="1025" width="3.85546875" bestFit="1" customWidth="1"/>
    <col min="1026" max="1026" width="61.5703125" customWidth="1"/>
    <col min="1027" max="1027" width="10" customWidth="1"/>
    <col min="1028" max="1028" width="11.85546875" customWidth="1"/>
    <col min="1029" max="1029" width="12.42578125" customWidth="1"/>
    <col min="1030" max="1030" width="9.7109375" customWidth="1"/>
    <col min="1031" max="1031" width="12" customWidth="1"/>
    <col min="1032" max="1032" width="13.28515625" customWidth="1"/>
    <col min="1033" max="1033" width="11.140625" customWidth="1"/>
    <col min="1034" max="1038" width="0" hidden="1" customWidth="1"/>
    <col min="1281" max="1281" width="3.85546875" bestFit="1" customWidth="1"/>
    <col min="1282" max="1282" width="61.5703125" customWidth="1"/>
    <col min="1283" max="1283" width="10" customWidth="1"/>
    <col min="1284" max="1284" width="11.85546875" customWidth="1"/>
    <col min="1285" max="1285" width="12.42578125" customWidth="1"/>
    <col min="1286" max="1286" width="9.7109375" customWidth="1"/>
    <col min="1287" max="1287" width="12" customWidth="1"/>
    <col min="1288" max="1288" width="13.28515625" customWidth="1"/>
    <col min="1289" max="1289" width="11.140625" customWidth="1"/>
    <col min="1290" max="1294" width="0" hidden="1" customWidth="1"/>
    <col min="1537" max="1537" width="3.85546875" bestFit="1" customWidth="1"/>
    <col min="1538" max="1538" width="61.5703125" customWidth="1"/>
    <col min="1539" max="1539" width="10" customWidth="1"/>
    <col min="1540" max="1540" width="11.85546875" customWidth="1"/>
    <col min="1541" max="1541" width="12.42578125" customWidth="1"/>
    <col min="1542" max="1542" width="9.7109375" customWidth="1"/>
    <col min="1543" max="1543" width="12" customWidth="1"/>
    <col min="1544" max="1544" width="13.28515625" customWidth="1"/>
    <col min="1545" max="1545" width="11.140625" customWidth="1"/>
    <col min="1546" max="1550" width="0" hidden="1" customWidth="1"/>
    <col min="1793" max="1793" width="3.85546875" bestFit="1" customWidth="1"/>
    <col min="1794" max="1794" width="61.5703125" customWidth="1"/>
    <col min="1795" max="1795" width="10" customWidth="1"/>
    <col min="1796" max="1796" width="11.85546875" customWidth="1"/>
    <col min="1797" max="1797" width="12.42578125" customWidth="1"/>
    <col min="1798" max="1798" width="9.7109375" customWidth="1"/>
    <col min="1799" max="1799" width="12" customWidth="1"/>
    <col min="1800" max="1800" width="13.28515625" customWidth="1"/>
    <col min="1801" max="1801" width="11.140625" customWidth="1"/>
    <col min="1802" max="1806" width="0" hidden="1" customWidth="1"/>
    <col min="2049" max="2049" width="3.85546875" bestFit="1" customWidth="1"/>
    <col min="2050" max="2050" width="61.5703125" customWidth="1"/>
    <col min="2051" max="2051" width="10" customWidth="1"/>
    <col min="2052" max="2052" width="11.85546875" customWidth="1"/>
    <col min="2053" max="2053" width="12.42578125" customWidth="1"/>
    <col min="2054" max="2054" width="9.7109375" customWidth="1"/>
    <col min="2055" max="2055" width="12" customWidth="1"/>
    <col min="2056" max="2056" width="13.28515625" customWidth="1"/>
    <col min="2057" max="2057" width="11.140625" customWidth="1"/>
    <col min="2058" max="2062" width="0" hidden="1" customWidth="1"/>
    <col min="2305" max="2305" width="3.85546875" bestFit="1" customWidth="1"/>
    <col min="2306" max="2306" width="61.5703125" customWidth="1"/>
    <col min="2307" max="2307" width="10" customWidth="1"/>
    <col min="2308" max="2308" width="11.85546875" customWidth="1"/>
    <col min="2309" max="2309" width="12.42578125" customWidth="1"/>
    <col min="2310" max="2310" width="9.7109375" customWidth="1"/>
    <col min="2311" max="2311" width="12" customWidth="1"/>
    <col min="2312" max="2312" width="13.28515625" customWidth="1"/>
    <col min="2313" max="2313" width="11.140625" customWidth="1"/>
    <col min="2314" max="2318" width="0" hidden="1" customWidth="1"/>
    <col min="2561" max="2561" width="3.85546875" bestFit="1" customWidth="1"/>
    <col min="2562" max="2562" width="61.5703125" customWidth="1"/>
    <col min="2563" max="2563" width="10" customWidth="1"/>
    <col min="2564" max="2564" width="11.85546875" customWidth="1"/>
    <col min="2565" max="2565" width="12.42578125" customWidth="1"/>
    <col min="2566" max="2566" width="9.7109375" customWidth="1"/>
    <col min="2567" max="2567" width="12" customWidth="1"/>
    <col min="2568" max="2568" width="13.28515625" customWidth="1"/>
    <col min="2569" max="2569" width="11.140625" customWidth="1"/>
    <col min="2570" max="2574" width="0" hidden="1" customWidth="1"/>
    <col min="2817" max="2817" width="3.85546875" bestFit="1" customWidth="1"/>
    <col min="2818" max="2818" width="61.5703125" customWidth="1"/>
    <col min="2819" max="2819" width="10" customWidth="1"/>
    <col min="2820" max="2820" width="11.85546875" customWidth="1"/>
    <col min="2821" max="2821" width="12.42578125" customWidth="1"/>
    <col min="2822" max="2822" width="9.7109375" customWidth="1"/>
    <col min="2823" max="2823" width="12" customWidth="1"/>
    <col min="2824" max="2824" width="13.28515625" customWidth="1"/>
    <col min="2825" max="2825" width="11.140625" customWidth="1"/>
    <col min="2826" max="2830" width="0" hidden="1" customWidth="1"/>
    <col min="3073" max="3073" width="3.85546875" bestFit="1" customWidth="1"/>
    <col min="3074" max="3074" width="61.5703125" customWidth="1"/>
    <col min="3075" max="3075" width="10" customWidth="1"/>
    <col min="3076" max="3076" width="11.85546875" customWidth="1"/>
    <col min="3077" max="3077" width="12.42578125" customWidth="1"/>
    <col min="3078" max="3078" width="9.7109375" customWidth="1"/>
    <col min="3079" max="3079" width="12" customWidth="1"/>
    <col min="3080" max="3080" width="13.28515625" customWidth="1"/>
    <col min="3081" max="3081" width="11.140625" customWidth="1"/>
    <col min="3082" max="3086" width="0" hidden="1" customWidth="1"/>
    <col min="3329" max="3329" width="3.85546875" bestFit="1" customWidth="1"/>
    <col min="3330" max="3330" width="61.5703125" customWidth="1"/>
    <col min="3331" max="3331" width="10" customWidth="1"/>
    <col min="3332" max="3332" width="11.85546875" customWidth="1"/>
    <col min="3333" max="3333" width="12.42578125" customWidth="1"/>
    <col min="3334" max="3334" width="9.7109375" customWidth="1"/>
    <col min="3335" max="3335" width="12" customWidth="1"/>
    <col min="3336" max="3336" width="13.28515625" customWidth="1"/>
    <col min="3337" max="3337" width="11.140625" customWidth="1"/>
    <col min="3338" max="3342" width="0" hidden="1" customWidth="1"/>
    <col min="3585" max="3585" width="3.85546875" bestFit="1" customWidth="1"/>
    <col min="3586" max="3586" width="61.5703125" customWidth="1"/>
    <col min="3587" max="3587" width="10" customWidth="1"/>
    <col min="3588" max="3588" width="11.85546875" customWidth="1"/>
    <col min="3589" max="3589" width="12.42578125" customWidth="1"/>
    <col min="3590" max="3590" width="9.7109375" customWidth="1"/>
    <col min="3591" max="3591" width="12" customWidth="1"/>
    <col min="3592" max="3592" width="13.28515625" customWidth="1"/>
    <col min="3593" max="3593" width="11.140625" customWidth="1"/>
    <col min="3594" max="3598" width="0" hidden="1" customWidth="1"/>
    <col min="3841" max="3841" width="3.85546875" bestFit="1" customWidth="1"/>
    <col min="3842" max="3842" width="61.5703125" customWidth="1"/>
    <col min="3843" max="3843" width="10" customWidth="1"/>
    <col min="3844" max="3844" width="11.85546875" customWidth="1"/>
    <col min="3845" max="3845" width="12.42578125" customWidth="1"/>
    <col min="3846" max="3846" width="9.7109375" customWidth="1"/>
    <col min="3847" max="3847" width="12" customWidth="1"/>
    <col min="3848" max="3848" width="13.28515625" customWidth="1"/>
    <col min="3849" max="3849" width="11.140625" customWidth="1"/>
    <col min="3850" max="3854" width="0" hidden="1" customWidth="1"/>
    <col min="4097" max="4097" width="3.85546875" bestFit="1" customWidth="1"/>
    <col min="4098" max="4098" width="61.5703125" customWidth="1"/>
    <col min="4099" max="4099" width="10" customWidth="1"/>
    <col min="4100" max="4100" width="11.85546875" customWidth="1"/>
    <col min="4101" max="4101" width="12.42578125" customWidth="1"/>
    <col min="4102" max="4102" width="9.7109375" customWidth="1"/>
    <col min="4103" max="4103" width="12" customWidth="1"/>
    <col min="4104" max="4104" width="13.28515625" customWidth="1"/>
    <col min="4105" max="4105" width="11.140625" customWidth="1"/>
    <col min="4106" max="4110" width="0" hidden="1" customWidth="1"/>
    <col min="4353" max="4353" width="3.85546875" bestFit="1" customWidth="1"/>
    <col min="4354" max="4354" width="61.5703125" customWidth="1"/>
    <col min="4355" max="4355" width="10" customWidth="1"/>
    <col min="4356" max="4356" width="11.85546875" customWidth="1"/>
    <col min="4357" max="4357" width="12.42578125" customWidth="1"/>
    <col min="4358" max="4358" width="9.7109375" customWidth="1"/>
    <col min="4359" max="4359" width="12" customWidth="1"/>
    <col min="4360" max="4360" width="13.28515625" customWidth="1"/>
    <col min="4361" max="4361" width="11.140625" customWidth="1"/>
    <col min="4362" max="4366" width="0" hidden="1" customWidth="1"/>
    <col min="4609" max="4609" width="3.85546875" bestFit="1" customWidth="1"/>
    <col min="4610" max="4610" width="61.5703125" customWidth="1"/>
    <col min="4611" max="4611" width="10" customWidth="1"/>
    <col min="4612" max="4612" width="11.85546875" customWidth="1"/>
    <col min="4613" max="4613" width="12.42578125" customWidth="1"/>
    <col min="4614" max="4614" width="9.7109375" customWidth="1"/>
    <col min="4615" max="4615" width="12" customWidth="1"/>
    <col min="4616" max="4616" width="13.28515625" customWidth="1"/>
    <col min="4617" max="4617" width="11.140625" customWidth="1"/>
    <col min="4618" max="4622" width="0" hidden="1" customWidth="1"/>
    <col min="4865" max="4865" width="3.85546875" bestFit="1" customWidth="1"/>
    <col min="4866" max="4866" width="61.5703125" customWidth="1"/>
    <col min="4867" max="4867" width="10" customWidth="1"/>
    <col min="4868" max="4868" width="11.85546875" customWidth="1"/>
    <col min="4869" max="4869" width="12.42578125" customWidth="1"/>
    <col min="4870" max="4870" width="9.7109375" customWidth="1"/>
    <col min="4871" max="4871" width="12" customWidth="1"/>
    <col min="4872" max="4872" width="13.28515625" customWidth="1"/>
    <col min="4873" max="4873" width="11.140625" customWidth="1"/>
    <col min="4874" max="4878" width="0" hidden="1" customWidth="1"/>
    <col min="5121" max="5121" width="3.85546875" bestFit="1" customWidth="1"/>
    <col min="5122" max="5122" width="61.5703125" customWidth="1"/>
    <col min="5123" max="5123" width="10" customWidth="1"/>
    <col min="5124" max="5124" width="11.85546875" customWidth="1"/>
    <col min="5125" max="5125" width="12.42578125" customWidth="1"/>
    <col min="5126" max="5126" width="9.7109375" customWidth="1"/>
    <col min="5127" max="5127" width="12" customWidth="1"/>
    <col min="5128" max="5128" width="13.28515625" customWidth="1"/>
    <col min="5129" max="5129" width="11.140625" customWidth="1"/>
    <col min="5130" max="5134" width="0" hidden="1" customWidth="1"/>
    <col min="5377" max="5377" width="3.85546875" bestFit="1" customWidth="1"/>
    <col min="5378" max="5378" width="61.5703125" customWidth="1"/>
    <col min="5379" max="5379" width="10" customWidth="1"/>
    <col min="5380" max="5380" width="11.85546875" customWidth="1"/>
    <col min="5381" max="5381" width="12.42578125" customWidth="1"/>
    <col min="5382" max="5382" width="9.7109375" customWidth="1"/>
    <col min="5383" max="5383" width="12" customWidth="1"/>
    <col min="5384" max="5384" width="13.28515625" customWidth="1"/>
    <col min="5385" max="5385" width="11.140625" customWidth="1"/>
    <col min="5386" max="5390" width="0" hidden="1" customWidth="1"/>
    <col min="5633" max="5633" width="3.85546875" bestFit="1" customWidth="1"/>
    <col min="5634" max="5634" width="61.5703125" customWidth="1"/>
    <col min="5635" max="5635" width="10" customWidth="1"/>
    <col min="5636" max="5636" width="11.85546875" customWidth="1"/>
    <col min="5637" max="5637" width="12.42578125" customWidth="1"/>
    <col min="5638" max="5638" width="9.7109375" customWidth="1"/>
    <col min="5639" max="5639" width="12" customWidth="1"/>
    <col min="5640" max="5640" width="13.28515625" customWidth="1"/>
    <col min="5641" max="5641" width="11.140625" customWidth="1"/>
    <col min="5642" max="5646" width="0" hidden="1" customWidth="1"/>
    <col min="5889" max="5889" width="3.85546875" bestFit="1" customWidth="1"/>
    <col min="5890" max="5890" width="61.5703125" customWidth="1"/>
    <col min="5891" max="5891" width="10" customWidth="1"/>
    <col min="5892" max="5892" width="11.85546875" customWidth="1"/>
    <col min="5893" max="5893" width="12.42578125" customWidth="1"/>
    <col min="5894" max="5894" width="9.7109375" customWidth="1"/>
    <col min="5895" max="5895" width="12" customWidth="1"/>
    <col min="5896" max="5896" width="13.28515625" customWidth="1"/>
    <col min="5897" max="5897" width="11.140625" customWidth="1"/>
    <col min="5898" max="5902" width="0" hidden="1" customWidth="1"/>
    <col min="6145" max="6145" width="3.85546875" bestFit="1" customWidth="1"/>
    <col min="6146" max="6146" width="61.5703125" customWidth="1"/>
    <col min="6147" max="6147" width="10" customWidth="1"/>
    <col min="6148" max="6148" width="11.85546875" customWidth="1"/>
    <col min="6149" max="6149" width="12.42578125" customWidth="1"/>
    <col min="6150" max="6150" width="9.7109375" customWidth="1"/>
    <col min="6151" max="6151" width="12" customWidth="1"/>
    <col min="6152" max="6152" width="13.28515625" customWidth="1"/>
    <col min="6153" max="6153" width="11.140625" customWidth="1"/>
    <col min="6154" max="6158" width="0" hidden="1" customWidth="1"/>
    <col min="6401" max="6401" width="3.85546875" bestFit="1" customWidth="1"/>
    <col min="6402" max="6402" width="61.5703125" customWidth="1"/>
    <col min="6403" max="6403" width="10" customWidth="1"/>
    <col min="6404" max="6404" width="11.85546875" customWidth="1"/>
    <col min="6405" max="6405" width="12.42578125" customWidth="1"/>
    <col min="6406" max="6406" width="9.7109375" customWidth="1"/>
    <col min="6407" max="6407" width="12" customWidth="1"/>
    <col min="6408" max="6408" width="13.28515625" customWidth="1"/>
    <col min="6409" max="6409" width="11.140625" customWidth="1"/>
    <col min="6410" max="6414" width="0" hidden="1" customWidth="1"/>
    <col min="6657" max="6657" width="3.85546875" bestFit="1" customWidth="1"/>
    <col min="6658" max="6658" width="61.5703125" customWidth="1"/>
    <col min="6659" max="6659" width="10" customWidth="1"/>
    <col min="6660" max="6660" width="11.85546875" customWidth="1"/>
    <col min="6661" max="6661" width="12.42578125" customWidth="1"/>
    <col min="6662" max="6662" width="9.7109375" customWidth="1"/>
    <col min="6663" max="6663" width="12" customWidth="1"/>
    <col min="6664" max="6664" width="13.28515625" customWidth="1"/>
    <col min="6665" max="6665" width="11.140625" customWidth="1"/>
    <col min="6666" max="6670" width="0" hidden="1" customWidth="1"/>
    <col min="6913" max="6913" width="3.85546875" bestFit="1" customWidth="1"/>
    <col min="6914" max="6914" width="61.5703125" customWidth="1"/>
    <col min="6915" max="6915" width="10" customWidth="1"/>
    <col min="6916" max="6916" width="11.85546875" customWidth="1"/>
    <col min="6917" max="6917" width="12.42578125" customWidth="1"/>
    <col min="6918" max="6918" width="9.7109375" customWidth="1"/>
    <col min="6919" max="6919" width="12" customWidth="1"/>
    <col min="6920" max="6920" width="13.28515625" customWidth="1"/>
    <col min="6921" max="6921" width="11.140625" customWidth="1"/>
    <col min="6922" max="6926" width="0" hidden="1" customWidth="1"/>
    <col min="7169" max="7169" width="3.85546875" bestFit="1" customWidth="1"/>
    <col min="7170" max="7170" width="61.5703125" customWidth="1"/>
    <col min="7171" max="7171" width="10" customWidth="1"/>
    <col min="7172" max="7172" width="11.85546875" customWidth="1"/>
    <col min="7173" max="7173" width="12.42578125" customWidth="1"/>
    <col min="7174" max="7174" width="9.7109375" customWidth="1"/>
    <col min="7175" max="7175" width="12" customWidth="1"/>
    <col min="7176" max="7176" width="13.28515625" customWidth="1"/>
    <col min="7177" max="7177" width="11.140625" customWidth="1"/>
    <col min="7178" max="7182" width="0" hidden="1" customWidth="1"/>
    <col min="7425" max="7425" width="3.85546875" bestFit="1" customWidth="1"/>
    <col min="7426" max="7426" width="61.5703125" customWidth="1"/>
    <col min="7427" max="7427" width="10" customWidth="1"/>
    <col min="7428" max="7428" width="11.85546875" customWidth="1"/>
    <col min="7429" max="7429" width="12.42578125" customWidth="1"/>
    <col min="7430" max="7430" width="9.7109375" customWidth="1"/>
    <col min="7431" max="7431" width="12" customWidth="1"/>
    <col min="7432" max="7432" width="13.28515625" customWidth="1"/>
    <col min="7433" max="7433" width="11.140625" customWidth="1"/>
    <col min="7434" max="7438" width="0" hidden="1" customWidth="1"/>
    <col min="7681" max="7681" width="3.85546875" bestFit="1" customWidth="1"/>
    <col min="7682" max="7682" width="61.5703125" customWidth="1"/>
    <col min="7683" max="7683" width="10" customWidth="1"/>
    <col min="7684" max="7684" width="11.85546875" customWidth="1"/>
    <col min="7685" max="7685" width="12.42578125" customWidth="1"/>
    <col min="7686" max="7686" width="9.7109375" customWidth="1"/>
    <col min="7687" max="7687" width="12" customWidth="1"/>
    <col min="7688" max="7688" width="13.28515625" customWidth="1"/>
    <col min="7689" max="7689" width="11.140625" customWidth="1"/>
    <col min="7690" max="7694" width="0" hidden="1" customWidth="1"/>
    <col min="7937" max="7937" width="3.85546875" bestFit="1" customWidth="1"/>
    <col min="7938" max="7938" width="61.5703125" customWidth="1"/>
    <col min="7939" max="7939" width="10" customWidth="1"/>
    <col min="7940" max="7940" width="11.85546875" customWidth="1"/>
    <col min="7941" max="7941" width="12.42578125" customWidth="1"/>
    <col min="7942" max="7942" width="9.7109375" customWidth="1"/>
    <col min="7943" max="7943" width="12" customWidth="1"/>
    <col min="7944" max="7944" width="13.28515625" customWidth="1"/>
    <col min="7945" max="7945" width="11.140625" customWidth="1"/>
    <col min="7946" max="7950" width="0" hidden="1" customWidth="1"/>
    <col min="8193" max="8193" width="3.85546875" bestFit="1" customWidth="1"/>
    <col min="8194" max="8194" width="61.5703125" customWidth="1"/>
    <col min="8195" max="8195" width="10" customWidth="1"/>
    <col min="8196" max="8196" width="11.85546875" customWidth="1"/>
    <col min="8197" max="8197" width="12.42578125" customWidth="1"/>
    <col min="8198" max="8198" width="9.7109375" customWidth="1"/>
    <col min="8199" max="8199" width="12" customWidth="1"/>
    <col min="8200" max="8200" width="13.28515625" customWidth="1"/>
    <col min="8201" max="8201" width="11.140625" customWidth="1"/>
    <col min="8202" max="8206" width="0" hidden="1" customWidth="1"/>
    <col min="8449" max="8449" width="3.85546875" bestFit="1" customWidth="1"/>
    <col min="8450" max="8450" width="61.5703125" customWidth="1"/>
    <col min="8451" max="8451" width="10" customWidth="1"/>
    <col min="8452" max="8452" width="11.85546875" customWidth="1"/>
    <col min="8453" max="8453" width="12.42578125" customWidth="1"/>
    <col min="8454" max="8454" width="9.7109375" customWidth="1"/>
    <col min="8455" max="8455" width="12" customWidth="1"/>
    <col min="8456" max="8456" width="13.28515625" customWidth="1"/>
    <col min="8457" max="8457" width="11.140625" customWidth="1"/>
    <col min="8458" max="8462" width="0" hidden="1" customWidth="1"/>
    <col min="8705" max="8705" width="3.85546875" bestFit="1" customWidth="1"/>
    <col min="8706" max="8706" width="61.5703125" customWidth="1"/>
    <col min="8707" max="8707" width="10" customWidth="1"/>
    <col min="8708" max="8708" width="11.85546875" customWidth="1"/>
    <col min="8709" max="8709" width="12.42578125" customWidth="1"/>
    <col min="8710" max="8710" width="9.7109375" customWidth="1"/>
    <col min="8711" max="8711" width="12" customWidth="1"/>
    <col min="8712" max="8712" width="13.28515625" customWidth="1"/>
    <col min="8713" max="8713" width="11.140625" customWidth="1"/>
    <col min="8714" max="8718" width="0" hidden="1" customWidth="1"/>
    <col min="8961" max="8961" width="3.85546875" bestFit="1" customWidth="1"/>
    <col min="8962" max="8962" width="61.5703125" customWidth="1"/>
    <col min="8963" max="8963" width="10" customWidth="1"/>
    <col min="8964" max="8964" width="11.85546875" customWidth="1"/>
    <col min="8965" max="8965" width="12.42578125" customWidth="1"/>
    <col min="8966" max="8966" width="9.7109375" customWidth="1"/>
    <col min="8967" max="8967" width="12" customWidth="1"/>
    <col min="8968" max="8968" width="13.28515625" customWidth="1"/>
    <col min="8969" max="8969" width="11.140625" customWidth="1"/>
    <col min="8970" max="8974" width="0" hidden="1" customWidth="1"/>
    <col min="9217" max="9217" width="3.85546875" bestFit="1" customWidth="1"/>
    <col min="9218" max="9218" width="61.5703125" customWidth="1"/>
    <col min="9219" max="9219" width="10" customWidth="1"/>
    <col min="9220" max="9220" width="11.85546875" customWidth="1"/>
    <col min="9221" max="9221" width="12.42578125" customWidth="1"/>
    <col min="9222" max="9222" width="9.7109375" customWidth="1"/>
    <col min="9223" max="9223" width="12" customWidth="1"/>
    <col min="9224" max="9224" width="13.28515625" customWidth="1"/>
    <col min="9225" max="9225" width="11.140625" customWidth="1"/>
    <col min="9226" max="9230" width="0" hidden="1" customWidth="1"/>
    <col min="9473" max="9473" width="3.85546875" bestFit="1" customWidth="1"/>
    <col min="9474" max="9474" width="61.5703125" customWidth="1"/>
    <col min="9475" max="9475" width="10" customWidth="1"/>
    <col min="9476" max="9476" width="11.85546875" customWidth="1"/>
    <col min="9477" max="9477" width="12.42578125" customWidth="1"/>
    <col min="9478" max="9478" width="9.7109375" customWidth="1"/>
    <col min="9479" max="9479" width="12" customWidth="1"/>
    <col min="9480" max="9480" width="13.28515625" customWidth="1"/>
    <col min="9481" max="9481" width="11.140625" customWidth="1"/>
    <col min="9482" max="9486" width="0" hidden="1" customWidth="1"/>
    <col min="9729" max="9729" width="3.85546875" bestFit="1" customWidth="1"/>
    <col min="9730" max="9730" width="61.5703125" customWidth="1"/>
    <col min="9731" max="9731" width="10" customWidth="1"/>
    <col min="9732" max="9732" width="11.85546875" customWidth="1"/>
    <col min="9733" max="9733" width="12.42578125" customWidth="1"/>
    <col min="9734" max="9734" width="9.7109375" customWidth="1"/>
    <col min="9735" max="9735" width="12" customWidth="1"/>
    <col min="9736" max="9736" width="13.28515625" customWidth="1"/>
    <col min="9737" max="9737" width="11.140625" customWidth="1"/>
    <col min="9738" max="9742" width="0" hidden="1" customWidth="1"/>
    <col min="9985" max="9985" width="3.85546875" bestFit="1" customWidth="1"/>
    <col min="9986" max="9986" width="61.5703125" customWidth="1"/>
    <col min="9987" max="9987" width="10" customWidth="1"/>
    <col min="9988" max="9988" width="11.85546875" customWidth="1"/>
    <col min="9989" max="9989" width="12.42578125" customWidth="1"/>
    <col min="9990" max="9990" width="9.7109375" customWidth="1"/>
    <col min="9991" max="9991" width="12" customWidth="1"/>
    <col min="9992" max="9992" width="13.28515625" customWidth="1"/>
    <col min="9993" max="9993" width="11.140625" customWidth="1"/>
    <col min="9994" max="9998" width="0" hidden="1" customWidth="1"/>
    <col min="10241" max="10241" width="3.85546875" bestFit="1" customWidth="1"/>
    <col min="10242" max="10242" width="61.5703125" customWidth="1"/>
    <col min="10243" max="10243" width="10" customWidth="1"/>
    <col min="10244" max="10244" width="11.85546875" customWidth="1"/>
    <col min="10245" max="10245" width="12.42578125" customWidth="1"/>
    <col min="10246" max="10246" width="9.7109375" customWidth="1"/>
    <col min="10247" max="10247" width="12" customWidth="1"/>
    <col min="10248" max="10248" width="13.28515625" customWidth="1"/>
    <col min="10249" max="10249" width="11.140625" customWidth="1"/>
    <col min="10250" max="10254" width="0" hidden="1" customWidth="1"/>
    <col min="10497" max="10497" width="3.85546875" bestFit="1" customWidth="1"/>
    <col min="10498" max="10498" width="61.5703125" customWidth="1"/>
    <col min="10499" max="10499" width="10" customWidth="1"/>
    <col min="10500" max="10500" width="11.85546875" customWidth="1"/>
    <col min="10501" max="10501" width="12.42578125" customWidth="1"/>
    <col min="10502" max="10502" width="9.7109375" customWidth="1"/>
    <col min="10503" max="10503" width="12" customWidth="1"/>
    <col min="10504" max="10504" width="13.28515625" customWidth="1"/>
    <col min="10505" max="10505" width="11.140625" customWidth="1"/>
    <col min="10506" max="10510" width="0" hidden="1" customWidth="1"/>
    <col min="10753" max="10753" width="3.85546875" bestFit="1" customWidth="1"/>
    <col min="10754" max="10754" width="61.5703125" customWidth="1"/>
    <col min="10755" max="10755" width="10" customWidth="1"/>
    <col min="10756" max="10756" width="11.85546875" customWidth="1"/>
    <col min="10757" max="10757" width="12.42578125" customWidth="1"/>
    <col min="10758" max="10758" width="9.7109375" customWidth="1"/>
    <col min="10759" max="10759" width="12" customWidth="1"/>
    <col min="10760" max="10760" width="13.28515625" customWidth="1"/>
    <col min="10761" max="10761" width="11.140625" customWidth="1"/>
    <col min="10762" max="10766" width="0" hidden="1" customWidth="1"/>
    <col min="11009" max="11009" width="3.85546875" bestFit="1" customWidth="1"/>
    <col min="11010" max="11010" width="61.5703125" customWidth="1"/>
    <col min="11011" max="11011" width="10" customWidth="1"/>
    <col min="11012" max="11012" width="11.85546875" customWidth="1"/>
    <col min="11013" max="11013" width="12.42578125" customWidth="1"/>
    <col min="11014" max="11014" width="9.7109375" customWidth="1"/>
    <col min="11015" max="11015" width="12" customWidth="1"/>
    <col min="11016" max="11016" width="13.28515625" customWidth="1"/>
    <col min="11017" max="11017" width="11.140625" customWidth="1"/>
    <col min="11018" max="11022" width="0" hidden="1" customWidth="1"/>
    <col min="11265" max="11265" width="3.85546875" bestFit="1" customWidth="1"/>
    <col min="11266" max="11266" width="61.5703125" customWidth="1"/>
    <col min="11267" max="11267" width="10" customWidth="1"/>
    <col min="11268" max="11268" width="11.85546875" customWidth="1"/>
    <col min="11269" max="11269" width="12.42578125" customWidth="1"/>
    <col min="11270" max="11270" width="9.7109375" customWidth="1"/>
    <col min="11271" max="11271" width="12" customWidth="1"/>
    <col min="11272" max="11272" width="13.28515625" customWidth="1"/>
    <col min="11273" max="11273" width="11.140625" customWidth="1"/>
    <col min="11274" max="11278" width="0" hidden="1" customWidth="1"/>
    <col min="11521" max="11521" width="3.85546875" bestFit="1" customWidth="1"/>
    <col min="11522" max="11522" width="61.5703125" customWidth="1"/>
    <col min="11523" max="11523" width="10" customWidth="1"/>
    <col min="11524" max="11524" width="11.85546875" customWidth="1"/>
    <col min="11525" max="11525" width="12.42578125" customWidth="1"/>
    <col min="11526" max="11526" width="9.7109375" customWidth="1"/>
    <col min="11527" max="11527" width="12" customWidth="1"/>
    <col min="11528" max="11528" width="13.28515625" customWidth="1"/>
    <col min="11529" max="11529" width="11.140625" customWidth="1"/>
    <col min="11530" max="11534" width="0" hidden="1" customWidth="1"/>
    <col min="11777" max="11777" width="3.85546875" bestFit="1" customWidth="1"/>
    <col min="11778" max="11778" width="61.5703125" customWidth="1"/>
    <col min="11779" max="11779" width="10" customWidth="1"/>
    <col min="11780" max="11780" width="11.85546875" customWidth="1"/>
    <col min="11781" max="11781" width="12.42578125" customWidth="1"/>
    <col min="11782" max="11782" width="9.7109375" customWidth="1"/>
    <col min="11783" max="11783" width="12" customWidth="1"/>
    <col min="11784" max="11784" width="13.28515625" customWidth="1"/>
    <col min="11785" max="11785" width="11.140625" customWidth="1"/>
    <col min="11786" max="11790" width="0" hidden="1" customWidth="1"/>
    <col min="12033" max="12033" width="3.85546875" bestFit="1" customWidth="1"/>
    <col min="12034" max="12034" width="61.5703125" customWidth="1"/>
    <col min="12035" max="12035" width="10" customWidth="1"/>
    <col min="12036" max="12036" width="11.85546875" customWidth="1"/>
    <col min="12037" max="12037" width="12.42578125" customWidth="1"/>
    <col min="12038" max="12038" width="9.7109375" customWidth="1"/>
    <col min="12039" max="12039" width="12" customWidth="1"/>
    <col min="12040" max="12040" width="13.28515625" customWidth="1"/>
    <col min="12041" max="12041" width="11.140625" customWidth="1"/>
    <col min="12042" max="12046" width="0" hidden="1" customWidth="1"/>
    <col min="12289" max="12289" width="3.85546875" bestFit="1" customWidth="1"/>
    <col min="12290" max="12290" width="61.5703125" customWidth="1"/>
    <col min="12291" max="12291" width="10" customWidth="1"/>
    <col min="12292" max="12292" width="11.85546875" customWidth="1"/>
    <col min="12293" max="12293" width="12.42578125" customWidth="1"/>
    <col min="12294" max="12294" width="9.7109375" customWidth="1"/>
    <col min="12295" max="12295" width="12" customWidth="1"/>
    <col min="12296" max="12296" width="13.28515625" customWidth="1"/>
    <col min="12297" max="12297" width="11.140625" customWidth="1"/>
    <col min="12298" max="12302" width="0" hidden="1" customWidth="1"/>
    <col min="12545" max="12545" width="3.85546875" bestFit="1" customWidth="1"/>
    <col min="12546" max="12546" width="61.5703125" customWidth="1"/>
    <col min="12547" max="12547" width="10" customWidth="1"/>
    <col min="12548" max="12548" width="11.85546875" customWidth="1"/>
    <col min="12549" max="12549" width="12.42578125" customWidth="1"/>
    <col min="12550" max="12550" width="9.7109375" customWidth="1"/>
    <col min="12551" max="12551" width="12" customWidth="1"/>
    <col min="12552" max="12552" width="13.28515625" customWidth="1"/>
    <col min="12553" max="12553" width="11.140625" customWidth="1"/>
    <col min="12554" max="12558" width="0" hidden="1" customWidth="1"/>
    <col min="12801" max="12801" width="3.85546875" bestFit="1" customWidth="1"/>
    <col min="12802" max="12802" width="61.5703125" customWidth="1"/>
    <col min="12803" max="12803" width="10" customWidth="1"/>
    <col min="12804" max="12804" width="11.85546875" customWidth="1"/>
    <col min="12805" max="12805" width="12.42578125" customWidth="1"/>
    <col min="12806" max="12806" width="9.7109375" customWidth="1"/>
    <col min="12807" max="12807" width="12" customWidth="1"/>
    <col min="12808" max="12808" width="13.28515625" customWidth="1"/>
    <col min="12809" max="12809" width="11.140625" customWidth="1"/>
    <col min="12810" max="12814" width="0" hidden="1" customWidth="1"/>
    <col min="13057" max="13057" width="3.85546875" bestFit="1" customWidth="1"/>
    <col min="13058" max="13058" width="61.5703125" customWidth="1"/>
    <col min="13059" max="13059" width="10" customWidth="1"/>
    <col min="13060" max="13060" width="11.85546875" customWidth="1"/>
    <col min="13061" max="13061" width="12.42578125" customWidth="1"/>
    <col min="13062" max="13062" width="9.7109375" customWidth="1"/>
    <col min="13063" max="13063" width="12" customWidth="1"/>
    <col min="13064" max="13064" width="13.28515625" customWidth="1"/>
    <col min="13065" max="13065" width="11.140625" customWidth="1"/>
    <col min="13066" max="13070" width="0" hidden="1" customWidth="1"/>
    <col min="13313" max="13313" width="3.85546875" bestFit="1" customWidth="1"/>
    <col min="13314" max="13314" width="61.5703125" customWidth="1"/>
    <col min="13315" max="13315" width="10" customWidth="1"/>
    <col min="13316" max="13316" width="11.85546875" customWidth="1"/>
    <col min="13317" max="13317" width="12.42578125" customWidth="1"/>
    <col min="13318" max="13318" width="9.7109375" customWidth="1"/>
    <col min="13319" max="13319" width="12" customWidth="1"/>
    <col min="13320" max="13320" width="13.28515625" customWidth="1"/>
    <col min="13321" max="13321" width="11.140625" customWidth="1"/>
    <col min="13322" max="13326" width="0" hidden="1" customWidth="1"/>
    <col min="13569" max="13569" width="3.85546875" bestFit="1" customWidth="1"/>
    <col min="13570" max="13570" width="61.5703125" customWidth="1"/>
    <col min="13571" max="13571" width="10" customWidth="1"/>
    <col min="13572" max="13572" width="11.85546875" customWidth="1"/>
    <col min="13573" max="13573" width="12.42578125" customWidth="1"/>
    <col min="13574" max="13574" width="9.7109375" customWidth="1"/>
    <col min="13575" max="13575" width="12" customWidth="1"/>
    <col min="13576" max="13576" width="13.28515625" customWidth="1"/>
    <col min="13577" max="13577" width="11.140625" customWidth="1"/>
    <col min="13578" max="13582" width="0" hidden="1" customWidth="1"/>
    <col min="13825" max="13825" width="3.85546875" bestFit="1" customWidth="1"/>
    <col min="13826" max="13826" width="61.5703125" customWidth="1"/>
    <col min="13827" max="13827" width="10" customWidth="1"/>
    <col min="13828" max="13828" width="11.85546875" customWidth="1"/>
    <col min="13829" max="13829" width="12.42578125" customWidth="1"/>
    <col min="13830" max="13830" width="9.7109375" customWidth="1"/>
    <col min="13831" max="13831" width="12" customWidth="1"/>
    <col min="13832" max="13832" width="13.28515625" customWidth="1"/>
    <col min="13833" max="13833" width="11.140625" customWidth="1"/>
    <col min="13834" max="13838" width="0" hidden="1" customWidth="1"/>
    <col min="14081" max="14081" width="3.85546875" bestFit="1" customWidth="1"/>
    <col min="14082" max="14082" width="61.5703125" customWidth="1"/>
    <col min="14083" max="14083" width="10" customWidth="1"/>
    <col min="14084" max="14084" width="11.85546875" customWidth="1"/>
    <col min="14085" max="14085" width="12.42578125" customWidth="1"/>
    <col min="14086" max="14086" width="9.7109375" customWidth="1"/>
    <col min="14087" max="14087" width="12" customWidth="1"/>
    <col min="14088" max="14088" width="13.28515625" customWidth="1"/>
    <col min="14089" max="14089" width="11.140625" customWidth="1"/>
    <col min="14090" max="14094" width="0" hidden="1" customWidth="1"/>
    <col min="14337" max="14337" width="3.85546875" bestFit="1" customWidth="1"/>
    <col min="14338" max="14338" width="61.5703125" customWidth="1"/>
    <col min="14339" max="14339" width="10" customWidth="1"/>
    <col min="14340" max="14340" width="11.85546875" customWidth="1"/>
    <col min="14341" max="14341" width="12.42578125" customWidth="1"/>
    <col min="14342" max="14342" width="9.7109375" customWidth="1"/>
    <col min="14343" max="14343" width="12" customWidth="1"/>
    <col min="14344" max="14344" width="13.28515625" customWidth="1"/>
    <col min="14345" max="14345" width="11.140625" customWidth="1"/>
    <col min="14346" max="14350" width="0" hidden="1" customWidth="1"/>
    <col min="14593" max="14593" width="3.85546875" bestFit="1" customWidth="1"/>
    <col min="14594" max="14594" width="61.5703125" customWidth="1"/>
    <col min="14595" max="14595" width="10" customWidth="1"/>
    <col min="14596" max="14596" width="11.85546875" customWidth="1"/>
    <col min="14597" max="14597" width="12.42578125" customWidth="1"/>
    <col min="14598" max="14598" width="9.7109375" customWidth="1"/>
    <col min="14599" max="14599" width="12" customWidth="1"/>
    <col min="14600" max="14600" width="13.28515625" customWidth="1"/>
    <col min="14601" max="14601" width="11.140625" customWidth="1"/>
    <col min="14602" max="14606" width="0" hidden="1" customWidth="1"/>
    <col min="14849" max="14849" width="3.85546875" bestFit="1" customWidth="1"/>
    <col min="14850" max="14850" width="61.5703125" customWidth="1"/>
    <col min="14851" max="14851" width="10" customWidth="1"/>
    <col min="14852" max="14852" width="11.85546875" customWidth="1"/>
    <col min="14853" max="14853" width="12.42578125" customWidth="1"/>
    <col min="14854" max="14854" width="9.7109375" customWidth="1"/>
    <col min="14855" max="14855" width="12" customWidth="1"/>
    <col min="14856" max="14856" width="13.28515625" customWidth="1"/>
    <col min="14857" max="14857" width="11.140625" customWidth="1"/>
    <col min="14858" max="14862" width="0" hidden="1" customWidth="1"/>
    <col min="15105" max="15105" width="3.85546875" bestFit="1" customWidth="1"/>
    <col min="15106" max="15106" width="61.5703125" customWidth="1"/>
    <col min="15107" max="15107" width="10" customWidth="1"/>
    <col min="15108" max="15108" width="11.85546875" customWidth="1"/>
    <col min="15109" max="15109" width="12.42578125" customWidth="1"/>
    <col min="15110" max="15110" width="9.7109375" customWidth="1"/>
    <col min="15111" max="15111" width="12" customWidth="1"/>
    <col min="15112" max="15112" width="13.28515625" customWidth="1"/>
    <col min="15113" max="15113" width="11.140625" customWidth="1"/>
    <col min="15114" max="15118" width="0" hidden="1" customWidth="1"/>
    <col min="15361" max="15361" width="3.85546875" bestFit="1" customWidth="1"/>
    <col min="15362" max="15362" width="61.5703125" customWidth="1"/>
    <col min="15363" max="15363" width="10" customWidth="1"/>
    <col min="15364" max="15364" width="11.85546875" customWidth="1"/>
    <col min="15365" max="15365" width="12.42578125" customWidth="1"/>
    <col min="15366" max="15366" width="9.7109375" customWidth="1"/>
    <col min="15367" max="15367" width="12" customWidth="1"/>
    <col min="15368" max="15368" width="13.28515625" customWidth="1"/>
    <col min="15369" max="15369" width="11.140625" customWidth="1"/>
    <col min="15370" max="15374" width="0" hidden="1" customWidth="1"/>
    <col min="15617" max="15617" width="3.85546875" bestFit="1" customWidth="1"/>
    <col min="15618" max="15618" width="61.5703125" customWidth="1"/>
    <col min="15619" max="15619" width="10" customWidth="1"/>
    <col min="15620" max="15620" width="11.85546875" customWidth="1"/>
    <col min="15621" max="15621" width="12.42578125" customWidth="1"/>
    <col min="15622" max="15622" width="9.7109375" customWidth="1"/>
    <col min="15623" max="15623" width="12" customWidth="1"/>
    <col min="15624" max="15624" width="13.28515625" customWidth="1"/>
    <col min="15625" max="15625" width="11.140625" customWidth="1"/>
    <col min="15626" max="15630" width="0" hidden="1" customWidth="1"/>
    <col min="15873" max="15873" width="3.85546875" bestFit="1" customWidth="1"/>
    <col min="15874" max="15874" width="61.5703125" customWidth="1"/>
    <col min="15875" max="15875" width="10" customWidth="1"/>
    <col min="15876" max="15876" width="11.85546875" customWidth="1"/>
    <col min="15877" max="15877" width="12.42578125" customWidth="1"/>
    <col min="15878" max="15878" width="9.7109375" customWidth="1"/>
    <col min="15879" max="15879" width="12" customWidth="1"/>
    <col min="15880" max="15880" width="13.28515625" customWidth="1"/>
    <col min="15881" max="15881" width="11.140625" customWidth="1"/>
    <col min="15882" max="15886" width="0" hidden="1" customWidth="1"/>
    <col min="16129" max="16129" width="3.85546875" bestFit="1" customWidth="1"/>
    <col min="16130" max="16130" width="61.5703125" customWidth="1"/>
    <col min="16131" max="16131" width="10" customWidth="1"/>
    <col min="16132" max="16132" width="11.85546875" customWidth="1"/>
    <col min="16133" max="16133" width="12.42578125" customWidth="1"/>
    <col min="16134" max="16134" width="9.7109375" customWidth="1"/>
    <col min="16135" max="16135" width="12" customWidth="1"/>
    <col min="16136" max="16136" width="13.28515625" customWidth="1"/>
    <col min="16137" max="16137" width="11.140625" customWidth="1"/>
    <col min="16138" max="16142" width="0" hidden="1" customWidth="1"/>
  </cols>
  <sheetData>
    <row r="1" spans="1:11" ht="48" customHeight="1">
      <c r="A1" s="282" t="s">
        <v>222</v>
      </c>
      <c r="B1" s="283"/>
      <c r="C1" s="283"/>
      <c r="D1" s="283"/>
      <c r="E1" s="283"/>
      <c r="F1" s="283"/>
      <c r="G1" s="283"/>
      <c r="H1" s="283"/>
      <c r="I1" s="284"/>
      <c r="J1" s="1"/>
      <c r="K1">
        <f>8183508+115914+111083+8065006+3950803</f>
        <v>20426314</v>
      </c>
    </row>
    <row r="2" spans="1:11" ht="17.25" customHeight="1">
      <c r="A2" s="285" t="s">
        <v>0</v>
      </c>
      <c r="B2" s="287" t="s">
        <v>1</v>
      </c>
      <c r="C2" s="287" t="s">
        <v>2</v>
      </c>
      <c r="D2" s="288" t="s">
        <v>223</v>
      </c>
      <c r="E2" s="289"/>
      <c r="F2" s="289"/>
      <c r="G2" s="289"/>
      <c r="H2" s="290" t="s">
        <v>224</v>
      </c>
      <c r="I2" s="288" t="s">
        <v>3</v>
      </c>
    </row>
    <row r="3" spans="1:11" ht="22.5" customHeight="1">
      <c r="A3" s="286"/>
      <c r="B3" s="287"/>
      <c r="C3" s="287"/>
      <c r="D3" s="160" t="s">
        <v>4</v>
      </c>
      <c r="E3" s="159" t="s">
        <v>5</v>
      </c>
      <c r="F3" s="159" t="s">
        <v>6</v>
      </c>
      <c r="G3" s="159" t="s">
        <v>7</v>
      </c>
      <c r="H3" s="290"/>
      <c r="I3" s="288"/>
    </row>
    <row r="4" spans="1:11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1" ht="15.75">
      <c r="A5" s="2" t="s">
        <v>9</v>
      </c>
      <c r="B5" s="3" t="s">
        <v>10</v>
      </c>
      <c r="C5" s="161" t="s">
        <v>11</v>
      </c>
      <c r="D5" s="5">
        <f>D8+D9+D7</f>
        <v>3249.5</v>
      </c>
      <c r="E5" s="5">
        <f>E8+E9+E7</f>
        <v>2442.578</v>
      </c>
      <c r="F5" s="5">
        <f>ROUND(E5/D5*100,1)</f>
        <v>75.2</v>
      </c>
      <c r="G5" s="5">
        <f>E5-D5</f>
        <v>-806.92200000000003</v>
      </c>
      <c r="H5" s="85">
        <f>H7+H8+H9</f>
        <v>2542.4</v>
      </c>
      <c r="I5" s="6">
        <f>IF(H5&gt;0,ROUND(E5/H5*100,1),0)</f>
        <v>96.1</v>
      </c>
    </row>
    <row r="6" spans="1:11" ht="15.75" customHeight="1">
      <c r="A6" s="2"/>
      <c r="B6" s="2" t="s">
        <v>12</v>
      </c>
      <c r="C6" s="2"/>
      <c r="F6" s="7"/>
      <c r="G6" s="7"/>
      <c r="H6" s="86"/>
      <c r="I6" s="7"/>
    </row>
    <row r="7" spans="1:11" ht="15.75">
      <c r="A7" s="2"/>
      <c r="B7" s="8" t="s">
        <v>13</v>
      </c>
      <c r="C7" s="2" t="s">
        <v>11</v>
      </c>
      <c r="D7" s="87">
        <v>2914</v>
      </c>
      <c r="E7" s="88">
        <v>2130.62</v>
      </c>
      <c r="F7" s="7">
        <f>ROUND(E7/D7*100,1)</f>
        <v>73.099999999999994</v>
      </c>
      <c r="G7" s="7">
        <f>E7-D7</f>
        <v>-783.38000000000011</v>
      </c>
      <c r="H7" s="86">
        <v>2260.3000000000002</v>
      </c>
      <c r="I7" s="9">
        <f>IF(H7&gt;0,ROUND(E8/H7*100,1),0)</f>
        <v>2.1</v>
      </c>
    </row>
    <row r="8" spans="1:11" ht="15.75">
      <c r="A8" s="2"/>
      <c r="B8" s="8" t="s">
        <v>14</v>
      </c>
      <c r="C8" s="2" t="s">
        <v>11</v>
      </c>
      <c r="D8" s="87">
        <v>40.5</v>
      </c>
      <c r="E8" s="88">
        <v>48.055</v>
      </c>
      <c r="F8" s="7">
        <f>ROUND(E8/D8*100,1)</f>
        <v>118.7</v>
      </c>
      <c r="G8" s="7">
        <f>E8-D8</f>
        <v>7.5549999999999997</v>
      </c>
      <c r="H8" s="86">
        <v>41.5</v>
      </c>
      <c r="I8" s="9">
        <f>IF(H8&gt;0,ROUND(E9/H8*100,1),0)</f>
        <v>635.9</v>
      </c>
    </row>
    <row r="9" spans="1:11" ht="15.75">
      <c r="A9" s="2"/>
      <c r="B9" s="8" t="s">
        <v>15</v>
      </c>
      <c r="C9" s="2" t="s">
        <v>11</v>
      </c>
      <c r="D9" s="87">
        <v>295</v>
      </c>
      <c r="E9" s="88">
        <v>263.90300000000002</v>
      </c>
      <c r="F9" s="7">
        <f>ROUND(E9/D9*100,1)</f>
        <v>89.5</v>
      </c>
      <c r="G9" s="7">
        <f>E9-D9</f>
        <v>-31.09699999999998</v>
      </c>
      <c r="H9" s="86">
        <v>240.6</v>
      </c>
      <c r="I9" s="9">
        <f>IF(H9&gt;0,ROUND(E10/H9*100,1),0)</f>
        <v>100</v>
      </c>
    </row>
    <row r="10" spans="1:11" ht="15.75">
      <c r="A10" s="2" t="s">
        <v>16</v>
      </c>
      <c r="B10" s="3" t="s">
        <v>17</v>
      </c>
      <c r="C10" s="158" t="s">
        <v>11</v>
      </c>
      <c r="D10" s="6">
        <f>D12+D13</f>
        <v>360</v>
      </c>
      <c r="E10" s="37">
        <f>E12+E13</f>
        <v>240.63990000000001</v>
      </c>
      <c r="F10" s="89">
        <f>ROUND(E10/D10*100,1)</f>
        <v>66.8</v>
      </c>
      <c r="G10" s="89">
        <f>E10-D10</f>
        <v>-119.36009999999999</v>
      </c>
      <c r="H10" s="6">
        <f>H12+H13</f>
        <v>147.19999999999999</v>
      </c>
      <c r="I10" s="9">
        <f>IF(H10&gt;0,ROUND(E10/H10*100,1),0)</f>
        <v>163.5</v>
      </c>
    </row>
    <row r="11" spans="1:11" ht="17.25" customHeight="1">
      <c r="A11" s="2"/>
      <c r="B11" s="2" t="s">
        <v>12</v>
      </c>
      <c r="C11" s="2"/>
      <c r="D11" s="87"/>
      <c r="E11" s="88"/>
      <c r="F11" s="7"/>
      <c r="G11" s="7"/>
      <c r="H11" s="86"/>
      <c r="I11" s="9">
        <f>IF(H11&gt;0,ROUND(E11/H11*100,1),0)</f>
        <v>0</v>
      </c>
    </row>
    <row r="12" spans="1:11" ht="15.75">
      <c r="A12" s="2"/>
      <c r="B12" s="8" t="s">
        <v>18</v>
      </c>
      <c r="C12" s="2" t="s">
        <v>11</v>
      </c>
      <c r="D12" s="87">
        <v>160</v>
      </c>
      <c r="E12" s="90">
        <v>122.75700000000001</v>
      </c>
      <c r="F12" s="7">
        <f>ROUND(E12/D12*100,1)</f>
        <v>76.7</v>
      </c>
      <c r="G12" s="7">
        <f>E12-D12</f>
        <v>-37.242999999999995</v>
      </c>
      <c r="H12" s="86">
        <v>49.4</v>
      </c>
      <c r="I12" s="9">
        <f>IF(H12&gt;0,ROUND(E12/H12*100,1),0)</f>
        <v>248.5</v>
      </c>
    </row>
    <row r="13" spans="1:11" ht="15.75">
      <c r="A13" s="2"/>
      <c r="B13" s="8" t="s">
        <v>19</v>
      </c>
      <c r="C13" s="2" t="s">
        <v>11</v>
      </c>
      <c r="D13" s="87">
        <f>80+120</f>
        <v>200</v>
      </c>
      <c r="E13" s="90">
        <f>93.1029+24.78</f>
        <v>117.88290000000001</v>
      </c>
      <c r="F13" s="7">
        <f>ROUND(E13/D13*100,1)</f>
        <v>58.9</v>
      </c>
      <c r="G13" s="7">
        <f>E13-D13</f>
        <v>-82.117099999999994</v>
      </c>
      <c r="H13" s="86">
        <v>97.8</v>
      </c>
      <c r="I13" s="9">
        <f>IF(H13&gt;0,ROUND(E13/H13*100,1),0)</f>
        <v>120.5</v>
      </c>
    </row>
    <row r="14" spans="1:11" ht="15.75">
      <c r="A14" s="2" t="s">
        <v>20</v>
      </c>
      <c r="B14" s="3" t="s">
        <v>21</v>
      </c>
      <c r="C14" s="161" t="s">
        <v>11</v>
      </c>
      <c r="D14" s="5">
        <f>D16+D17+D18</f>
        <v>3299.2</v>
      </c>
      <c r="E14" s="5">
        <f>E16+E17+E18</f>
        <v>2429.9270000000001</v>
      </c>
      <c r="F14" s="5">
        <f>ROUND(E14/D14*100,1)</f>
        <v>73.7</v>
      </c>
      <c r="G14" s="89">
        <f>E14-D14</f>
        <v>-869.27299999999968</v>
      </c>
      <c r="H14" s="6">
        <f>H16+H17+H18</f>
        <v>2744.3090000000002</v>
      </c>
      <c r="I14" s="10">
        <f>IF(H14&gt;0,ROUND(E14/H14*100,1),0)</f>
        <v>88.5</v>
      </c>
      <c r="J14" t="s">
        <v>22</v>
      </c>
    </row>
    <row r="15" spans="1:11" ht="18" customHeight="1">
      <c r="A15" s="2"/>
      <c r="B15" s="2" t="s">
        <v>12</v>
      </c>
      <c r="C15" s="2"/>
      <c r="D15" s="87"/>
      <c r="E15" s="88"/>
      <c r="F15" s="7"/>
      <c r="G15" s="7"/>
      <c r="H15" s="86"/>
      <c r="I15" s="7"/>
    </row>
    <row r="16" spans="1:11" ht="15.75">
      <c r="A16" s="2"/>
      <c r="B16" s="8" t="s">
        <v>13</v>
      </c>
      <c r="C16" s="2" t="s">
        <v>11</v>
      </c>
      <c r="D16" s="87">
        <v>2963.7</v>
      </c>
      <c r="E16" s="88">
        <v>2173.3820000000001</v>
      </c>
      <c r="F16" s="7">
        <f>ROUND(E16/D16*100,1)</f>
        <v>73.3</v>
      </c>
      <c r="G16" s="7">
        <f>E16-D16</f>
        <v>-790.31799999999976</v>
      </c>
      <c r="H16" s="86">
        <v>2498.194</v>
      </c>
      <c r="I16" s="9">
        <f>IF(H16&gt;0,ROUND(E16/H16*100,1),0)</f>
        <v>87</v>
      </c>
      <c r="J16" t="s">
        <v>22</v>
      </c>
    </row>
    <row r="17" spans="1:12" ht="15.75">
      <c r="A17" s="2"/>
      <c r="B17" s="8" t="s">
        <v>14</v>
      </c>
      <c r="C17" s="2" t="s">
        <v>11</v>
      </c>
      <c r="D17" s="87">
        <v>40.5</v>
      </c>
      <c r="E17" s="88">
        <v>37.54</v>
      </c>
      <c r="F17" s="7">
        <f>ROUND(E17/D17*100,1)</f>
        <v>92.7</v>
      </c>
      <c r="G17" s="7">
        <f>E17-D17</f>
        <v>-2.9600000000000009</v>
      </c>
      <c r="H17" s="86">
        <v>41.482999999999997</v>
      </c>
      <c r="I17" s="9">
        <f>IF(H17&gt;0,ROUND(E17/H17*100,1),0)</f>
        <v>90.5</v>
      </c>
      <c r="J17" t="s">
        <v>22</v>
      </c>
    </row>
    <row r="18" spans="1:12" ht="15.75">
      <c r="A18" s="2"/>
      <c r="B18" s="8" t="s">
        <v>15</v>
      </c>
      <c r="C18" s="2" t="s">
        <v>11</v>
      </c>
      <c r="D18" s="87">
        <v>295</v>
      </c>
      <c r="E18" s="88">
        <v>219.005</v>
      </c>
      <c r="F18" s="7">
        <f>ROUND(E18/D18*100,1)</f>
        <v>74.2</v>
      </c>
      <c r="G18" s="7">
        <f>E18-D18</f>
        <v>-75.995000000000005</v>
      </c>
      <c r="H18" s="86">
        <v>204.63200000000001</v>
      </c>
      <c r="I18" s="9">
        <f>IF(H18&gt;0,ROUND(E18/H18*100,1),0)</f>
        <v>107</v>
      </c>
    </row>
    <row r="19" spans="1:12" ht="18.75">
      <c r="A19" s="2" t="s">
        <v>23</v>
      </c>
      <c r="B19" s="3" t="s">
        <v>24</v>
      </c>
      <c r="C19" s="161" t="s">
        <v>25</v>
      </c>
      <c r="D19" s="5">
        <f>D21+D22+D23+D24</f>
        <v>21035</v>
      </c>
      <c r="E19" s="5">
        <f>E21+E22+E23+E24</f>
        <v>16412.793000000001</v>
      </c>
      <c r="F19" s="89">
        <f>ROUND(E19/D19*100,1)</f>
        <v>78</v>
      </c>
      <c r="G19" s="89">
        <f>E19-D19</f>
        <v>-4622.2069999999985</v>
      </c>
      <c r="H19" s="6">
        <f>H21+H22+H23+H24</f>
        <v>14688.213</v>
      </c>
      <c r="I19" s="10">
        <f>IF(H19&gt;0,ROUND(E19/H19*100,1),0)</f>
        <v>111.7</v>
      </c>
      <c r="J19" t="s">
        <v>22</v>
      </c>
    </row>
    <row r="20" spans="1:12" ht="15.75">
      <c r="A20" s="2"/>
      <c r="B20" s="3" t="s">
        <v>26</v>
      </c>
      <c r="C20" s="2"/>
      <c r="D20" s="87"/>
      <c r="E20" s="88"/>
      <c r="F20" s="7"/>
      <c r="G20" s="7"/>
      <c r="H20" s="86"/>
      <c r="I20" s="7"/>
      <c r="L20" s="11"/>
    </row>
    <row r="21" spans="1:12" ht="18.75">
      <c r="A21" s="2"/>
      <c r="B21" s="8" t="s">
        <v>27</v>
      </c>
      <c r="C21" s="2" t="s">
        <v>28</v>
      </c>
      <c r="D21" s="87">
        <v>6995</v>
      </c>
      <c r="E21" s="88">
        <v>5647.7330000000002</v>
      </c>
      <c r="F21" s="7">
        <f>ROUND(E21/D21*100,1)</f>
        <v>80.7</v>
      </c>
      <c r="G21" s="7">
        <f t="shared" ref="G21:G31" si="0">E21-D21</f>
        <v>-1347.2669999999998</v>
      </c>
      <c r="H21" s="86">
        <v>5203.7280000000001</v>
      </c>
      <c r="I21" s="9">
        <f t="shared" ref="I21:I28" si="1">IF(H21&gt;0,ROUND(E21/H21*100,1),0)</f>
        <v>108.5</v>
      </c>
      <c r="J21" t="s">
        <v>22</v>
      </c>
    </row>
    <row r="22" spans="1:12" ht="18.75">
      <c r="A22" s="2"/>
      <c r="B22" s="8" t="s">
        <v>29</v>
      </c>
      <c r="C22" s="2" t="s">
        <v>28</v>
      </c>
      <c r="D22" s="87">
        <v>13460</v>
      </c>
      <c r="E22" s="88">
        <v>10655.6</v>
      </c>
      <c r="F22" s="7">
        <f>ROUND(E22/D22*100,1)</f>
        <v>79.2</v>
      </c>
      <c r="G22" s="7">
        <f t="shared" si="0"/>
        <v>-2804.3999999999996</v>
      </c>
      <c r="H22" s="86">
        <v>8393.2000000000007</v>
      </c>
      <c r="I22" s="9">
        <f t="shared" si="1"/>
        <v>127</v>
      </c>
      <c r="J22" t="s">
        <v>22</v>
      </c>
    </row>
    <row r="23" spans="1:12" ht="18.75">
      <c r="A23" s="2"/>
      <c r="B23" s="8" t="s">
        <v>30</v>
      </c>
      <c r="C23" s="2" t="s">
        <v>28</v>
      </c>
      <c r="D23" s="87"/>
      <c r="E23" s="88"/>
      <c r="F23" s="7"/>
      <c r="G23" s="7">
        <f t="shared" si="0"/>
        <v>0</v>
      </c>
      <c r="H23" s="86"/>
      <c r="I23" s="9">
        <f t="shared" si="1"/>
        <v>0</v>
      </c>
      <c r="J23" t="s">
        <v>22</v>
      </c>
    </row>
    <row r="24" spans="1:12" ht="18.75">
      <c r="A24" s="2"/>
      <c r="B24" s="8" t="s">
        <v>31</v>
      </c>
      <c r="C24" s="2" t="s">
        <v>28</v>
      </c>
      <c r="D24" s="87">
        <v>580</v>
      </c>
      <c r="E24" s="88">
        <v>109.46</v>
      </c>
      <c r="F24" s="7">
        <f t="shared" ref="F24:F29" si="2">ROUND(E24/D24*100,1)</f>
        <v>18.899999999999999</v>
      </c>
      <c r="G24" s="7">
        <f t="shared" si="0"/>
        <v>-470.54</v>
      </c>
      <c r="H24" s="86">
        <v>1091.2850000000001</v>
      </c>
      <c r="I24" s="9">
        <f t="shared" si="1"/>
        <v>10</v>
      </c>
      <c r="J24" t="s">
        <v>22</v>
      </c>
    </row>
    <row r="25" spans="1:12" ht="15.75">
      <c r="A25" s="2" t="s">
        <v>32</v>
      </c>
      <c r="B25" s="12" t="s">
        <v>33</v>
      </c>
      <c r="C25" s="13" t="s">
        <v>34</v>
      </c>
      <c r="D25" s="91">
        <v>709</v>
      </c>
      <c r="E25" s="14">
        <v>1068</v>
      </c>
      <c r="F25" s="7">
        <f t="shared" si="2"/>
        <v>150.6</v>
      </c>
      <c r="G25" s="9">
        <f t="shared" si="0"/>
        <v>359</v>
      </c>
      <c r="H25" s="86">
        <v>1187.5</v>
      </c>
      <c r="I25" s="9">
        <f t="shared" si="1"/>
        <v>89.9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91">
        <v>504940.266</v>
      </c>
      <c r="E26" s="14">
        <v>388838.95199999999</v>
      </c>
      <c r="F26" s="9">
        <f t="shared" si="2"/>
        <v>77</v>
      </c>
      <c r="G26" s="9">
        <f t="shared" si="0"/>
        <v>-116101.31400000001</v>
      </c>
      <c r="H26" s="86">
        <v>397353.185</v>
      </c>
      <c r="I26" s="18">
        <f t="shared" si="1"/>
        <v>97.9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208</v>
      </c>
      <c r="C27" s="17" t="s">
        <v>37</v>
      </c>
      <c r="D27" s="91">
        <v>3555.6610000000001</v>
      </c>
      <c r="E27" s="14">
        <v>107.95099999999999</v>
      </c>
      <c r="F27" s="9">
        <f>ROUND(E27/D27*100,1)</f>
        <v>3</v>
      </c>
      <c r="G27" s="9">
        <f t="shared" si="0"/>
        <v>-3447.71</v>
      </c>
      <c r="H27" s="86">
        <v>325.51</v>
      </c>
      <c r="I27" s="18">
        <f t="shared" si="1"/>
        <v>33.200000000000003</v>
      </c>
      <c r="J27" t="s">
        <v>22</v>
      </c>
      <c r="K27"/>
    </row>
    <row r="28" spans="1:12" ht="31.5">
      <c r="A28" s="2" t="s">
        <v>39</v>
      </c>
      <c r="B28" s="137" t="s">
        <v>225</v>
      </c>
      <c r="C28" s="17" t="s">
        <v>37</v>
      </c>
      <c r="D28" s="91">
        <v>86377.399000000005</v>
      </c>
      <c r="E28" s="14">
        <v>3185.6509999999998</v>
      </c>
      <c r="F28" s="156">
        <f t="shared" si="2"/>
        <v>3.7</v>
      </c>
      <c r="G28" s="9">
        <f t="shared" si="0"/>
        <v>-83191.748000000007</v>
      </c>
      <c r="H28" s="86">
        <v>593.79999999999995</v>
      </c>
      <c r="I28" s="157">
        <f t="shared" si="1"/>
        <v>536.5</v>
      </c>
      <c r="J28" t="s">
        <v>22</v>
      </c>
    </row>
    <row r="29" spans="1:12" ht="19.5" customHeight="1">
      <c r="A29" s="13" t="s">
        <v>41</v>
      </c>
      <c r="B29" s="21" t="s">
        <v>42</v>
      </c>
      <c r="C29" s="17" t="s">
        <v>37</v>
      </c>
      <c r="D29" s="91">
        <v>4527.6000000000004</v>
      </c>
      <c r="E29" s="14">
        <v>4530.7</v>
      </c>
      <c r="F29" s="9">
        <f t="shared" si="2"/>
        <v>100.1</v>
      </c>
      <c r="G29" s="9">
        <f t="shared" si="0"/>
        <v>3.0999999999994543</v>
      </c>
      <c r="H29" s="86">
        <v>3928</v>
      </c>
      <c r="I29" s="9">
        <f>IF(H29&gt;0,ROUND(E29/H29*100,1),0)</f>
        <v>115.3</v>
      </c>
      <c r="J29" t="s">
        <v>22</v>
      </c>
    </row>
    <row r="30" spans="1:12" ht="21.75" customHeight="1">
      <c r="A30" s="291" t="s">
        <v>43</v>
      </c>
      <c r="B30" s="292"/>
      <c r="C30" s="292"/>
      <c r="D30" s="292"/>
      <c r="E30" s="292"/>
      <c r="F30" s="292"/>
      <c r="G30" s="292"/>
      <c r="H30" s="292"/>
      <c r="I30" s="292"/>
    </row>
    <row r="31" spans="1:12" ht="24" hidden="1" customHeight="1" outlineLevel="1">
      <c r="A31" s="13" t="s">
        <v>44</v>
      </c>
      <c r="B31" s="93" t="s">
        <v>209</v>
      </c>
      <c r="C31" s="17" t="s">
        <v>37</v>
      </c>
      <c r="D31" s="22"/>
      <c r="E31" s="14"/>
      <c r="F31" s="23"/>
      <c r="G31" s="18">
        <f t="shared" si="0"/>
        <v>0</v>
      </c>
      <c r="H31" s="14">
        <f>0.495*1000</f>
        <v>495</v>
      </c>
      <c r="I31" s="18">
        <f>IF(H31&gt;0,ROUND(E31/H31*100,1),0)</f>
        <v>0</v>
      </c>
      <c r="J31" s="24" t="s">
        <v>46</v>
      </c>
    </row>
    <row r="32" spans="1:12" ht="15.75" hidden="1" outlineLevel="1">
      <c r="A32" s="2" t="s">
        <v>47</v>
      </c>
      <c r="B32" s="12" t="s">
        <v>48</v>
      </c>
      <c r="C32" s="17" t="s">
        <v>37</v>
      </c>
      <c r="D32" s="22"/>
      <c r="E32" s="94"/>
      <c r="F32" s="23"/>
      <c r="G32" s="25"/>
      <c r="H32" s="18"/>
      <c r="I32" s="18">
        <f>IF(H32&gt;0,ROUND(E32/H32*100,1),0)</f>
        <v>0</v>
      </c>
    </row>
    <row r="33" spans="1:11" ht="15.75" collapsed="1">
      <c r="A33" s="2" t="s">
        <v>49</v>
      </c>
      <c r="B33" s="3" t="s">
        <v>50</v>
      </c>
      <c r="C33" s="17" t="s">
        <v>37</v>
      </c>
      <c r="D33" s="26">
        <f>D35+D39+D40+D41+D42+D43+D45+D44</f>
        <v>96512.818342695609</v>
      </c>
      <c r="E33" s="26">
        <f>E35+E39+E40+E41+E42+E43+E45+E44</f>
        <v>108206.9</v>
      </c>
      <c r="F33" s="26">
        <f>ROUND(E33/D33*100,1)</f>
        <v>112.1</v>
      </c>
      <c r="G33" s="26">
        <f t="shared" ref="G33:G44" si="3">E33-D33</f>
        <v>11694.081657304385</v>
      </c>
      <c r="H33" s="26">
        <f>H35+H39+H40+H41+H42+H43+H45+H44</f>
        <v>144436</v>
      </c>
      <c r="I33" s="26">
        <f>IF(H33&gt;0,ROUND(E33/H33*100,1),0)</f>
        <v>74.900000000000006</v>
      </c>
      <c r="J33" t="s">
        <v>51</v>
      </c>
    </row>
    <row r="34" spans="1:11" ht="15.75">
      <c r="A34" s="2"/>
      <c r="B34" s="162" t="s">
        <v>52</v>
      </c>
      <c r="C34" s="17" t="s">
        <v>37</v>
      </c>
      <c r="D34" s="95"/>
      <c r="E34" s="96"/>
      <c r="F34" s="27"/>
      <c r="G34" s="27">
        <f t="shared" si="3"/>
        <v>0</v>
      </c>
      <c r="H34" s="28"/>
      <c r="I34" s="28"/>
    </row>
    <row r="35" spans="1:11" ht="15.75">
      <c r="A35" s="2"/>
      <c r="B35" s="163" t="s">
        <v>53</v>
      </c>
      <c r="C35" s="17" t="s">
        <v>37</v>
      </c>
      <c r="D35" s="27">
        <f>D37+D38</f>
        <v>61.62234269561425</v>
      </c>
      <c r="E35" s="28">
        <f>E37+E38</f>
        <v>0</v>
      </c>
      <c r="F35" s="28">
        <f>ROUND(E35/D35*100,1)</f>
        <v>0</v>
      </c>
      <c r="G35" s="27">
        <f t="shared" si="3"/>
        <v>-61.62234269561425</v>
      </c>
      <c r="H35" s="86">
        <f>H37+H38</f>
        <v>3265</v>
      </c>
      <c r="I35" s="28">
        <f>IF(H35&gt;0,ROUND(E35/H35*100,1),0)</f>
        <v>0</v>
      </c>
      <c r="J35" t="s">
        <v>51</v>
      </c>
    </row>
    <row r="36" spans="1:11" ht="15.75">
      <c r="A36" s="2"/>
      <c r="B36" s="163" t="s">
        <v>54</v>
      </c>
      <c r="C36" s="17" t="s">
        <v>37</v>
      </c>
      <c r="D36" s="95"/>
      <c r="E36" s="97"/>
      <c r="F36" s="28"/>
      <c r="G36" s="27"/>
      <c r="H36" s="86"/>
      <c r="I36" s="28"/>
    </row>
    <row r="37" spans="1:11" ht="15.75">
      <c r="A37" s="2"/>
      <c r="B37" s="164" t="s">
        <v>55</v>
      </c>
      <c r="C37" s="17" t="s">
        <v>37</v>
      </c>
      <c r="D37" s="95"/>
      <c r="E37" s="97"/>
      <c r="F37" s="28"/>
      <c r="G37" s="27"/>
      <c r="H37" s="86"/>
      <c r="I37" s="28"/>
    </row>
    <row r="38" spans="1:11" ht="15.75">
      <c r="A38" s="2"/>
      <c r="B38" s="164" t="s">
        <v>56</v>
      </c>
      <c r="C38" s="17" t="s">
        <v>37</v>
      </c>
      <c r="D38" s="95">
        <f>D96</f>
        <v>61.62234269561425</v>
      </c>
      <c r="E38" s="97"/>
      <c r="F38" s="28">
        <f>ROUND(E38/D38*100,1)</f>
        <v>0</v>
      </c>
      <c r="G38" s="27">
        <f t="shared" si="3"/>
        <v>-61.62234269561425</v>
      </c>
      <c r="H38" s="86">
        <f>H96</f>
        <v>3265</v>
      </c>
      <c r="I38" s="28"/>
    </row>
    <row r="39" spans="1:11" ht="15.75">
      <c r="A39" s="2"/>
      <c r="B39" s="163" t="s">
        <v>57</v>
      </c>
      <c r="C39" s="17" t="s">
        <v>37</v>
      </c>
      <c r="D39" s="95">
        <f>D130</f>
        <v>96451.195999999996</v>
      </c>
      <c r="E39" s="97">
        <f>E130</f>
        <v>108206.9</v>
      </c>
      <c r="F39" s="28">
        <f>ROUND(E39/D39*100,1)</f>
        <v>112.2</v>
      </c>
      <c r="G39" s="27">
        <f t="shared" si="3"/>
        <v>11755.703999999998</v>
      </c>
      <c r="H39" s="86">
        <v>86863.2</v>
      </c>
      <c r="I39" s="28">
        <f>IF(H39&gt;0,ROUND(E39/H39*100,1),0)</f>
        <v>124.6</v>
      </c>
      <c r="J39" t="s">
        <v>58</v>
      </c>
      <c r="K39" s="95">
        <v>34799.205999999998</v>
      </c>
    </row>
    <row r="40" spans="1:11" ht="15.75">
      <c r="A40" s="2"/>
      <c r="B40" s="165" t="s">
        <v>59</v>
      </c>
      <c r="C40" s="17" t="s">
        <v>37</v>
      </c>
      <c r="D40" s="99"/>
      <c r="E40" s="97"/>
      <c r="F40" s="27"/>
      <c r="G40" s="27">
        <f t="shared" si="3"/>
        <v>0</v>
      </c>
      <c r="H40" s="28"/>
      <c r="I40" s="28"/>
    </row>
    <row r="41" spans="1:11" ht="33.75" customHeight="1">
      <c r="A41" s="100"/>
      <c r="B41" s="165" t="s">
        <v>60</v>
      </c>
      <c r="C41" s="17" t="s">
        <v>37</v>
      </c>
      <c r="D41" s="95"/>
      <c r="E41" s="97">
        <v>0</v>
      </c>
      <c r="F41" s="27"/>
      <c r="G41" s="27">
        <f t="shared" si="3"/>
        <v>0</v>
      </c>
      <c r="H41" s="28">
        <v>0</v>
      </c>
      <c r="I41" s="28">
        <f>IF(H41&gt;0,ROUND(E41/H41*100,1),0)</f>
        <v>0</v>
      </c>
      <c r="J41" t="s">
        <v>51</v>
      </c>
    </row>
    <row r="42" spans="1:11" ht="15.75">
      <c r="A42" s="2"/>
      <c r="B42" s="163" t="s">
        <v>61</v>
      </c>
      <c r="C42" s="17" t="s">
        <v>37</v>
      </c>
      <c r="D42" s="91"/>
      <c r="E42" s="14"/>
      <c r="F42" s="23"/>
      <c r="G42" s="27">
        <f t="shared" si="3"/>
        <v>0</v>
      </c>
      <c r="H42" s="18">
        <v>54307.8</v>
      </c>
      <c r="I42" s="18"/>
    </row>
    <row r="43" spans="1:11" ht="15.75">
      <c r="A43" s="2"/>
      <c r="B43" s="165" t="s">
        <v>62</v>
      </c>
      <c r="C43" s="17" t="s">
        <v>37</v>
      </c>
      <c r="D43" s="91"/>
      <c r="E43" s="14"/>
      <c r="F43" s="18"/>
      <c r="G43" s="27">
        <f t="shared" si="3"/>
        <v>0</v>
      </c>
      <c r="H43" s="18"/>
      <c r="I43" s="18"/>
    </row>
    <row r="44" spans="1:11" ht="15.75">
      <c r="A44" s="2"/>
      <c r="B44" s="165" t="s">
        <v>63</v>
      </c>
      <c r="C44" s="17" t="s">
        <v>37</v>
      </c>
      <c r="D44" s="91"/>
      <c r="E44" s="101"/>
      <c r="F44" s="18"/>
      <c r="G44" s="27">
        <f t="shared" si="3"/>
        <v>0</v>
      </c>
      <c r="H44" s="86"/>
      <c r="I44" s="18"/>
    </row>
    <row r="45" spans="1:11" ht="15.75" customHeight="1">
      <c r="A45" s="2"/>
      <c r="B45" s="163" t="s">
        <v>64</v>
      </c>
      <c r="C45" s="17" t="s">
        <v>37</v>
      </c>
      <c r="D45" s="91"/>
      <c r="E45" s="14"/>
      <c r="F45" s="18"/>
      <c r="G45" s="18"/>
      <c r="H45" s="18"/>
      <c r="I45" s="18"/>
    </row>
    <row r="46" spans="1:11" ht="47.25" hidden="1" outlineLevel="1">
      <c r="A46" s="2"/>
      <c r="B46" s="12" t="s">
        <v>65</v>
      </c>
      <c r="C46" s="13" t="s">
        <v>37</v>
      </c>
      <c r="D46" s="102"/>
      <c r="E46" s="102"/>
      <c r="F46" s="102"/>
      <c r="G46" s="102">
        <f>E46-D46</f>
        <v>0</v>
      </c>
      <c r="H46" s="102"/>
      <c r="I46" s="102">
        <f>IF(H46&gt;0,ROUND(E46/H46*100,1),0)</f>
        <v>0</v>
      </c>
    </row>
    <row r="47" spans="1:11" ht="15.75" collapsed="1">
      <c r="A47" s="297" t="s">
        <v>66</v>
      </c>
      <c r="B47" s="297"/>
      <c r="C47" s="297"/>
      <c r="D47" s="297"/>
      <c r="E47" s="297"/>
      <c r="F47" s="297"/>
      <c r="G47" s="297"/>
      <c r="H47" s="297"/>
      <c r="I47" s="297"/>
    </row>
    <row r="48" spans="1:11" ht="15.75">
      <c r="A48" s="2" t="s">
        <v>67</v>
      </c>
      <c r="B48" s="3" t="s">
        <v>68</v>
      </c>
      <c r="C48" s="2"/>
      <c r="D48" s="87"/>
      <c r="E48" s="88"/>
      <c r="F48" s="7"/>
      <c r="G48" s="7"/>
      <c r="H48" s="7"/>
      <c r="I48" s="7"/>
    </row>
    <row r="49" spans="1:10" ht="15.75" hidden="1" outlineLevel="1">
      <c r="A49" s="2"/>
      <c r="B49" s="12" t="s">
        <v>69</v>
      </c>
      <c r="C49" s="13" t="s">
        <v>70</v>
      </c>
      <c r="D49" s="103" t="e">
        <f>D51+D52</f>
        <v>#VALUE!</v>
      </c>
      <c r="E49" s="104" t="e">
        <f>E51+E52</f>
        <v>#VALUE!</v>
      </c>
      <c r="F49" s="102" t="e">
        <f>IF(E49&gt;0,ROUND(E49/D49*100,1),0)</f>
        <v>#VALUE!</v>
      </c>
      <c r="G49" s="102" t="e">
        <f>E49-D49</f>
        <v>#VALUE!</v>
      </c>
      <c r="H49" s="105" t="e">
        <f>H51+H52</f>
        <v>#VALUE!</v>
      </c>
      <c r="I49" s="102" t="e">
        <f>IF(H49&gt;0,ROUND(E49/H49*100,1),0)</f>
        <v>#VALUE!</v>
      </c>
    </row>
    <row r="50" spans="1:10" ht="15.75" hidden="1" outlineLevel="1">
      <c r="A50" s="2"/>
      <c r="B50" s="2" t="s">
        <v>12</v>
      </c>
      <c r="C50" s="13"/>
      <c r="D50" s="103"/>
      <c r="E50" s="104"/>
      <c r="F50" s="105"/>
      <c r="G50" s="105"/>
      <c r="H50" s="105"/>
      <c r="I50" s="105"/>
    </row>
    <row r="51" spans="1:10" ht="15.75" collapsed="1">
      <c r="A51" s="2"/>
      <c r="B51" s="8" t="s">
        <v>71</v>
      </c>
      <c r="C51" s="13" t="s">
        <v>72</v>
      </c>
      <c r="D51" s="91" t="s">
        <v>73</v>
      </c>
      <c r="E51" s="14" t="s">
        <v>73</v>
      </c>
      <c r="F51" s="9" t="s">
        <v>73</v>
      </c>
      <c r="G51" s="9" t="s">
        <v>73</v>
      </c>
      <c r="H51" s="106" t="s">
        <v>73</v>
      </c>
      <c r="I51" s="9" t="s">
        <v>73</v>
      </c>
    </row>
    <row r="52" spans="1:10" ht="15.75" hidden="1" outlineLevel="1">
      <c r="A52" s="2"/>
      <c r="B52" s="12" t="s">
        <v>74</v>
      </c>
      <c r="C52" s="13" t="s">
        <v>70</v>
      </c>
      <c r="D52" s="103"/>
      <c r="E52" s="104"/>
      <c r="F52" s="102"/>
      <c r="G52" s="102"/>
      <c r="H52" s="105"/>
      <c r="I52" s="102">
        <f>IF(H52&gt;0,ROUND(E52/H52*100,1),0)</f>
        <v>0</v>
      </c>
    </row>
    <row r="53" spans="1:10" ht="15.75" hidden="1" outlineLevel="1">
      <c r="A53" s="2"/>
      <c r="B53" s="12" t="s">
        <v>75</v>
      </c>
      <c r="C53" s="13" t="s">
        <v>70</v>
      </c>
      <c r="D53" s="22"/>
      <c r="E53" s="94"/>
      <c r="F53" s="102"/>
      <c r="G53" s="102"/>
      <c r="H53" s="102"/>
      <c r="I53" s="102">
        <f>IF(H53&gt;0,ROUND(E53/H53*100,1),0)</f>
        <v>0</v>
      </c>
    </row>
    <row r="54" spans="1:10" ht="15.75" collapsed="1">
      <c r="A54" s="2" t="s">
        <v>76</v>
      </c>
      <c r="B54" s="3" t="s">
        <v>77</v>
      </c>
      <c r="C54" s="13"/>
      <c r="D54" s="103"/>
      <c r="E54" s="104"/>
      <c r="F54" s="105"/>
      <c r="G54" s="105"/>
      <c r="H54" s="105"/>
      <c r="I54" s="105"/>
    </row>
    <row r="55" spans="1:10" ht="15.75">
      <c r="A55" s="2"/>
      <c r="B55" s="8" t="s">
        <v>78</v>
      </c>
      <c r="C55" s="13" t="s">
        <v>79</v>
      </c>
      <c r="D55" s="91" t="s">
        <v>73</v>
      </c>
      <c r="E55" s="14" t="s">
        <v>73</v>
      </c>
      <c r="F55" s="9" t="s">
        <v>73</v>
      </c>
      <c r="G55" s="9" t="s">
        <v>73</v>
      </c>
      <c r="H55" s="9" t="s">
        <v>73</v>
      </c>
      <c r="I55" s="9" t="s">
        <v>73</v>
      </c>
    </row>
    <row r="56" spans="1:10" ht="15.75" hidden="1" outlineLevel="1">
      <c r="A56" s="2"/>
      <c r="B56" s="12" t="s">
        <v>80</v>
      </c>
      <c r="C56" s="13" t="s">
        <v>81</v>
      </c>
      <c r="D56" s="107"/>
      <c r="E56" s="105"/>
      <c r="F56" s="105"/>
      <c r="G56" s="105"/>
      <c r="H56" s="105"/>
      <c r="I56" s="105"/>
    </row>
    <row r="57" spans="1:10" ht="24.75" hidden="1" customHeight="1" outlineLevel="1">
      <c r="A57" s="2"/>
      <c r="B57" s="12" t="s">
        <v>82</v>
      </c>
      <c r="C57" s="13" t="s">
        <v>81</v>
      </c>
      <c r="D57" s="108">
        <v>0</v>
      </c>
      <c r="E57" s="108"/>
      <c r="F57" s="108"/>
      <c r="G57" s="108"/>
      <c r="H57" s="108"/>
      <c r="I57" s="108"/>
    </row>
    <row r="58" spans="1:10" ht="15.75" collapsed="1">
      <c r="A58" s="298" t="s">
        <v>83</v>
      </c>
      <c r="B58" s="298"/>
      <c r="C58" s="298"/>
      <c r="D58" s="298"/>
      <c r="E58" s="298"/>
      <c r="F58" s="298"/>
      <c r="G58" s="298"/>
      <c r="H58" s="298"/>
      <c r="I58" s="298"/>
    </row>
    <row r="59" spans="1:10" ht="15.75">
      <c r="A59" s="2" t="s">
        <v>84</v>
      </c>
      <c r="B59" s="12" t="s">
        <v>85</v>
      </c>
      <c r="C59" s="13" t="s">
        <v>86</v>
      </c>
      <c r="D59" s="109">
        <v>6200</v>
      </c>
      <c r="E59" s="110">
        <v>6098</v>
      </c>
      <c r="F59" s="28">
        <f>ROUND(E59/D59*100,1)</f>
        <v>98.4</v>
      </c>
      <c r="G59" s="28">
        <f>E59-D59</f>
        <v>-102</v>
      </c>
      <c r="H59" s="86">
        <v>5887</v>
      </c>
      <c r="I59" s="28">
        <f t="shared" ref="I59:I64" si="4">IF(H59&gt;0,ROUND(E59/H59*100,1),0)</f>
        <v>103.6</v>
      </c>
      <c r="J59" t="s">
        <v>87</v>
      </c>
    </row>
    <row r="60" spans="1:10" ht="31.5" hidden="1" outlineLevel="1">
      <c r="A60" s="2" t="s">
        <v>88</v>
      </c>
      <c r="B60" s="12" t="s">
        <v>89</v>
      </c>
      <c r="C60" s="13" t="s">
        <v>90</v>
      </c>
      <c r="D60" s="99"/>
      <c r="E60" s="97"/>
      <c r="F60" s="28" t="e">
        <f>ROUND(E60/D60*100,1)</f>
        <v>#DIV/0!</v>
      </c>
      <c r="G60" s="28"/>
      <c r="H60" s="86"/>
      <c r="I60" s="28">
        <f t="shared" si="4"/>
        <v>0</v>
      </c>
    </row>
    <row r="61" spans="1:10" ht="15.75" collapsed="1">
      <c r="A61" s="2" t="s">
        <v>91</v>
      </c>
      <c r="B61" s="12" t="s">
        <v>92</v>
      </c>
      <c r="C61" s="17" t="s">
        <v>37</v>
      </c>
      <c r="D61" s="111">
        <v>188249</v>
      </c>
      <c r="E61" s="112">
        <v>145440.79999999999</v>
      </c>
      <c r="F61" s="28">
        <f>ROUND(E61/D61*100,1)</f>
        <v>77.3</v>
      </c>
      <c r="G61" s="28">
        <f>E61-D61</f>
        <v>-42808.200000000012</v>
      </c>
      <c r="H61" s="86">
        <v>113059.5</v>
      </c>
      <c r="I61" s="28">
        <f t="shared" si="4"/>
        <v>128.6</v>
      </c>
      <c r="J61" t="s">
        <v>87</v>
      </c>
    </row>
    <row r="62" spans="1:10" ht="15.75">
      <c r="A62" s="2" t="s">
        <v>93</v>
      </c>
      <c r="B62" s="12" t="s">
        <v>94</v>
      </c>
      <c r="C62" s="13" t="s">
        <v>95</v>
      </c>
      <c r="D62" s="99">
        <v>3373.6</v>
      </c>
      <c r="E62" s="97">
        <v>2643.7</v>
      </c>
      <c r="F62" s="28">
        <f>ROUND(E62/D62*100,1)</f>
        <v>78.400000000000006</v>
      </c>
      <c r="G62" s="28">
        <f>E62-D62</f>
        <v>-729.90000000000009</v>
      </c>
      <c r="H62" s="86">
        <v>2129</v>
      </c>
      <c r="I62" s="28">
        <f t="shared" si="4"/>
        <v>124.2</v>
      </c>
      <c r="J62" t="s">
        <v>87</v>
      </c>
    </row>
    <row r="63" spans="1:10" ht="15.75">
      <c r="A63" s="2" t="s">
        <v>96</v>
      </c>
      <c r="B63" s="162" t="s">
        <v>97</v>
      </c>
      <c r="C63" s="17" t="s">
        <v>37</v>
      </c>
      <c r="D63" s="91"/>
      <c r="E63" s="14">
        <v>1273512</v>
      </c>
      <c r="F63" s="28"/>
      <c r="G63" s="9"/>
      <c r="H63" s="86">
        <v>1075966</v>
      </c>
      <c r="I63" s="9">
        <f t="shared" si="4"/>
        <v>118.4</v>
      </c>
      <c r="J63" t="s">
        <v>58</v>
      </c>
    </row>
    <row r="64" spans="1:10" ht="15.75" hidden="1" outlineLevel="1">
      <c r="A64" s="2" t="s">
        <v>98</v>
      </c>
      <c r="B64" s="12" t="s">
        <v>99</v>
      </c>
      <c r="C64" s="13" t="s">
        <v>37</v>
      </c>
      <c r="D64" s="113"/>
      <c r="E64" s="114"/>
      <c r="F64" s="115"/>
      <c r="G64" s="113"/>
      <c r="H64" s="86"/>
      <c r="I64" s="115">
        <f t="shared" si="4"/>
        <v>0</v>
      </c>
      <c r="J64" s="31"/>
    </row>
    <row r="65" spans="1:13" ht="15.75" collapsed="1">
      <c r="A65" s="2" t="s">
        <v>100</v>
      </c>
      <c r="B65" s="12" t="s">
        <v>101</v>
      </c>
      <c r="C65" s="13" t="s">
        <v>102</v>
      </c>
      <c r="D65" s="116">
        <v>136348.73000000001</v>
      </c>
      <c r="E65" s="117">
        <v>160250.29999999999</v>
      </c>
      <c r="F65" s="28">
        <f>ROUND(E65/D65*100,1)</f>
        <v>117.5</v>
      </c>
      <c r="G65" s="28">
        <f>E65-D65</f>
        <v>23901.569999999978</v>
      </c>
      <c r="H65" s="86">
        <v>134892.70000000001</v>
      </c>
      <c r="I65" s="28">
        <f>ROUND(E65/H65*100,1)</f>
        <v>118.8</v>
      </c>
      <c r="J65" t="s">
        <v>103</v>
      </c>
    </row>
    <row r="66" spans="1:13" ht="15.75" hidden="1" outlineLevel="1">
      <c r="A66" s="2"/>
      <c r="B66" s="2" t="s">
        <v>12</v>
      </c>
      <c r="C66" s="13"/>
      <c r="D66" s="105"/>
      <c r="E66" s="105"/>
      <c r="F66" s="105"/>
      <c r="G66" s="105"/>
      <c r="H66" s="105"/>
      <c r="I66" s="105"/>
    </row>
    <row r="67" spans="1:13" ht="15.75" hidden="1" outlineLevel="1">
      <c r="A67" s="2"/>
      <c r="B67" s="12" t="s">
        <v>104</v>
      </c>
      <c r="C67" s="13" t="s">
        <v>102</v>
      </c>
      <c r="D67" s="105"/>
      <c r="E67" s="105"/>
      <c r="F67" s="105" t="e">
        <f>ROUND(E67/D67*100,1)</f>
        <v>#DIV/0!</v>
      </c>
      <c r="G67" s="105">
        <f>E67-D67</f>
        <v>0</v>
      </c>
      <c r="H67" s="105"/>
      <c r="I67" s="105" t="e">
        <f>ROUND(E67/H67*100,1)</f>
        <v>#DIV/0!</v>
      </c>
    </row>
    <row r="68" spans="1:13" ht="15.75" hidden="1" outlineLevel="1">
      <c r="A68" s="2"/>
      <c r="B68" s="12" t="s">
        <v>105</v>
      </c>
      <c r="C68" s="13" t="s">
        <v>102</v>
      </c>
      <c r="D68" s="105"/>
      <c r="E68" s="105"/>
      <c r="F68" s="105" t="e">
        <f>ROUND(E68/D68*100,1)</f>
        <v>#DIV/0!</v>
      </c>
      <c r="G68" s="105">
        <f>E68-D68</f>
        <v>0</v>
      </c>
      <c r="H68" s="105"/>
      <c r="I68" s="105" t="e">
        <f>ROUND(E68/H68*100,1)</f>
        <v>#DIV/0!</v>
      </c>
    </row>
    <row r="69" spans="1:13" s="32" customFormat="1" ht="15.75" collapsed="1">
      <c r="A69" s="298" t="s">
        <v>106</v>
      </c>
      <c r="B69" s="298"/>
      <c r="C69" s="298"/>
      <c r="D69" s="298"/>
      <c r="E69" s="298"/>
      <c r="F69" s="298"/>
      <c r="G69" s="298"/>
      <c r="H69" s="298"/>
      <c r="I69" s="298"/>
    </row>
    <row r="70" spans="1:13" ht="15.75">
      <c r="A70" s="2" t="s">
        <v>107</v>
      </c>
      <c r="B70" s="12" t="s">
        <v>108</v>
      </c>
      <c r="C70" s="17" t="s">
        <v>37</v>
      </c>
      <c r="D70" s="99">
        <v>639097.73699999996</v>
      </c>
      <c r="E70" s="14">
        <v>388214.9</v>
      </c>
      <c r="F70" s="9">
        <f t="shared" ref="F70:F95" si="5">ROUND(E70/D70*100,1)</f>
        <v>60.7</v>
      </c>
      <c r="G70" s="9">
        <f t="shared" ref="G70:G96" si="6">E70-D70</f>
        <v>-250882.83699999994</v>
      </c>
      <c r="H70" s="86">
        <v>575684</v>
      </c>
      <c r="I70" s="9">
        <f t="shared" ref="I70:I85" si="7">ROUND(E70/H70*100,1)</f>
        <v>67.400000000000006</v>
      </c>
      <c r="J70" t="s">
        <v>103</v>
      </c>
      <c r="M70">
        <f>1759313-152984-76292-1017231</f>
        <v>512806</v>
      </c>
    </row>
    <row r="71" spans="1:13" ht="15.75">
      <c r="A71" s="2" t="s">
        <v>109</v>
      </c>
      <c r="B71" s="12" t="s">
        <v>110</v>
      </c>
      <c r="C71" s="17" t="s">
        <v>37</v>
      </c>
      <c r="D71" s="99">
        <v>456021.60133565217</v>
      </c>
      <c r="E71" s="14">
        <v>305491.55</v>
      </c>
      <c r="F71" s="9">
        <f t="shared" si="5"/>
        <v>67</v>
      </c>
      <c r="G71" s="9">
        <f t="shared" si="6"/>
        <v>-150530.05133565218</v>
      </c>
      <c r="H71" s="86">
        <v>449845</v>
      </c>
      <c r="I71" s="9">
        <f t="shared" si="7"/>
        <v>67.900000000000006</v>
      </c>
      <c r="J71" t="s">
        <v>103</v>
      </c>
    </row>
    <row r="72" spans="1:13" ht="15.75">
      <c r="A72" s="2" t="s">
        <v>111</v>
      </c>
      <c r="B72" s="12" t="s">
        <v>112</v>
      </c>
      <c r="C72" s="17" t="s">
        <v>37</v>
      </c>
      <c r="D72" s="33">
        <f>D70-D71</f>
        <v>183076.13566434779</v>
      </c>
      <c r="E72" s="34">
        <f>E70-E71</f>
        <v>82723.350000000035</v>
      </c>
      <c r="F72" s="7">
        <f t="shared" si="5"/>
        <v>45.2</v>
      </c>
      <c r="G72" s="9">
        <f t="shared" si="6"/>
        <v>-100352.78566434776</v>
      </c>
      <c r="H72" s="18">
        <f>H70-H71</f>
        <v>125839</v>
      </c>
      <c r="I72" s="7">
        <f t="shared" si="7"/>
        <v>65.7</v>
      </c>
      <c r="J72" t="s">
        <v>103</v>
      </c>
      <c r="M72" s="11">
        <f>D72-D73</f>
        <v>90230.080344347793</v>
      </c>
    </row>
    <row r="73" spans="1:13" ht="15.75">
      <c r="A73" s="2"/>
      <c r="B73" s="3" t="s">
        <v>113</v>
      </c>
      <c r="C73" s="17" t="s">
        <v>37</v>
      </c>
      <c r="D73" s="26">
        <f>D74+D75+D76</f>
        <v>92846.055319999999</v>
      </c>
      <c r="E73" s="6">
        <f>E74+E75+E76</f>
        <v>125034.29000000001</v>
      </c>
      <c r="F73" s="10">
        <f t="shared" si="5"/>
        <v>134.69999999999999</v>
      </c>
      <c r="G73" s="10">
        <f t="shared" si="6"/>
        <v>32188.234680000009</v>
      </c>
      <c r="H73" s="118">
        <f>H74+H75+H76</f>
        <v>86618</v>
      </c>
      <c r="I73" s="10">
        <f t="shared" si="7"/>
        <v>144.4</v>
      </c>
      <c r="J73" t="s">
        <v>103</v>
      </c>
      <c r="M73" s="11">
        <f>M72+D77</f>
        <v>92872.49634434779</v>
      </c>
    </row>
    <row r="74" spans="1:13" ht="15.75">
      <c r="A74" s="2"/>
      <c r="B74" s="119" t="s">
        <v>114</v>
      </c>
      <c r="C74" s="17" t="s">
        <v>37</v>
      </c>
      <c r="D74" s="99">
        <v>3992.8712800000003</v>
      </c>
      <c r="E74" s="88">
        <v>28525.599999999999</v>
      </c>
      <c r="F74" s="7">
        <f t="shared" si="5"/>
        <v>714.4</v>
      </c>
      <c r="G74" s="9">
        <f t="shared" si="6"/>
        <v>24532.728719999999</v>
      </c>
      <c r="H74" s="86">
        <v>5699</v>
      </c>
      <c r="I74" s="7">
        <f t="shared" si="7"/>
        <v>500.5</v>
      </c>
      <c r="J74" t="s">
        <v>103</v>
      </c>
    </row>
    <row r="75" spans="1:13" ht="15.75">
      <c r="A75" s="2"/>
      <c r="B75" s="119" t="s">
        <v>115</v>
      </c>
      <c r="C75" s="17" t="s">
        <v>37</v>
      </c>
      <c r="D75" s="99">
        <v>38169.505539999998</v>
      </c>
      <c r="E75" s="88">
        <v>31442.400000000001</v>
      </c>
      <c r="F75" s="9">
        <f t="shared" si="5"/>
        <v>82.4</v>
      </c>
      <c r="G75" s="9">
        <f t="shared" si="6"/>
        <v>-6727.1055399999968</v>
      </c>
      <c r="H75" s="86">
        <v>16988</v>
      </c>
      <c r="I75" s="9">
        <f t="shared" si="7"/>
        <v>185.1</v>
      </c>
      <c r="J75" t="s">
        <v>103</v>
      </c>
    </row>
    <row r="76" spans="1:13" ht="15.75">
      <c r="A76" s="2"/>
      <c r="B76" s="119" t="s">
        <v>116</v>
      </c>
      <c r="C76" s="17" t="s">
        <v>37</v>
      </c>
      <c r="D76" s="99">
        <v>50683.678500000002</v>
      </c>
      <c r="E76" s="88">
        <v>65066.29</v>
      </c>
      <c r="F76" s="9">
        <f t="shared" si="5"/>
        <v>128.4</v>
      </c>
      <c r="G76" s="9">
        <f t="shared" si="6"/>
        <v>14382.611499999999</v>
      </c>
      <c r="H76" s="86">
        <v>63931</v>
      </c>
      <c r="I76" s="9">
        <f t="shared" si="7"/>
        <v>101.8</v>
      </c>
      <c r="J76" t="s">
        <v>103</v>
      </c>
    </row>
    <row r="77" spans="1:13" ht="15.75">
      <c r="A77" s="2"/>
      <c r="B77" s="12" t="s">
        <v>117</v>
      </c>
      <c r="C77" s="17" t="s">
        <v>37</v>
      </c>
      <c r="D77" s="116">
        <v>2642.4160000000002</v>
      </c>
      <c r="E77" s="14">
        <v>13818</v>
      </c>
      <c r="F77" s="9"/>
      <c r="G77" s="9">
        <f t="shared" si="6"/>
        <v>11175.583999999999</v>
      </c>
      <c r="H77" s="86">
        <v>162578</v>
      </c>
      <c r="I77" s="9">
        <f t="shared" si="7"/>
        <v>8.5</v>
      </c>
      <c r="J77" t="s">
        <v>103</v>
      </c>
    </row>
    <row r="78" spans="1:13" ht="15.75">
      <c r="A78" s="2"/>
      <c r="B78" s="12" t="s">
        <v>118</v>
      </c>
      <c r="C78" s="17" t="s">
        <v>37</v>
      </c>
      <c r="D78" s="99">
        <v>92800</v>
      </c>
      <c r="E78" s="14">
        <v>143225.34</v>
      </c>
      <c r="F78" s="9">
        <f t="shared" si="5"/>
        <v>154.30000000000001</v>
      </c>
      <c r="G78" s="9">
        <f t="shared" si="6"/>
        <v>50425.34</v>
      </c>
      <c r="H78" s="86">
        <v>197176</v>
      </c>
      <c r="I78" s="9">
        <f t="shared" si="7"/>
        <v>72.599999999999994</v>
      </c>
      <c r="J78" t="s">
        <v>103</v>
      </c>
    </row>
    <row r="79" spans="1:13" ht="15.75" hidden="1" outlineLevel="1">
      <c r="A79" s="2"/>
      <c r="B79" s="12" t="s">
        <v>119</v>
      </c>
      <c r="C79" s="17" t="s">
        <v>37</v>
      </c>
      <c r="D79" s="111"/>
      <c r="E79" s="88"/>
      <c r="F79" s="9" t="e">
        <f t="shared" si="5"/>
        <v>#DIV/0!</v>
      </c>
      <c r="G79" s="9">
        <f t="shared" si="6"/>
        <v>0</v>
      </c>
      <c r="H79" s="120"/>
      <c r="I79" s="9" t="e">
        <f t="shared" si="7"/>
        <v>#DIV/0!</v>
      </c>
    </row>
    <row r="80" spans="1:13" ht="15.75" hidden="1" outlineLevel="1">
      <c r="A80" s="2"/>
      <c r="B80" s="12" t="s">
        <v>120</v>
      </c>
      <c r="C80" s="17" t="s">
        <v>37</v>
      </c>
      <c r="D80" s="111"/>
      <c r="E80" s="88"/>
      <c r="F80" s="9" t="e">
        <f t="shared" si="5"/>
        <v>#DIV/0!</v>
      </c>
      <c r="G80" s="9">
        <f t="shared" si="6"/>
        <v>0</v>
      </c>
      <c r="H80" s="120"/>
      <c r="I80" s="9" t="e">
        <f t="shared" si="7"/>
        <v>#DIV/0!</v>
      </c>
    </row>
    <row r="81" spans="1:10" ht="15.75" hidden="1" outlineLevel="1">
      <c r="A81" s="2"/>
      <c r="B81" s="12" t="s">
        <v>121</v>
      </c>
      <c r="C81" s="17" t="s">
        <v>37</v>
      </c>
      <c r="D81" s="111"/>
      <c r="E81" s="88"/>
      <c r="F81" s="9" t="e">
        <f t="shared" si="5"/>
        <v>#DIV/0!</v>
      </c>
      <c r="G81" s="9">
        <f t="shared" si="6"/>
        <v>0</v>
      </c>
      <c r="H81" s="120"/>
      <c r="I81" s="9" t="e">
        <f t="shared" si="7"/>
        <v>#DIV/0!</v>
      </c>
    </row>
    <row r="82" spans="1:10" ht="15.75" hidden="1" outlineLevel="1">
      <c r="A82" s="2"/>
      <c r="B82" s="12" t="s">
        <v>122</v>
      </c>
      <c r="C82" s="17" t="s">
        <v>37</v>
      </c>
      <c r="D82" s="111"/>
      <c r="E82" s="88"/>
      <c r="F82" s="9" t="e">
        <f t="shared" si="5"/>
        <v>#DIV/0!</v>
      </c>
      <c r="G82" s="9">
        <f t="shared" si="6"/>
        <v>0</v>
      </c>
      <c r="H82" s="120"/>
      <c r="I82" s="9" t="e">
        <f t="shared" si="7"/>
        <v>#DIV/0!</v>
      </c>
    </row>
    <row r="83" spans="1:10" ht="15.75" hidden="1" outlineLevel="1">
      <c r="A83" s="2"/>
      <c r="B83" s="12" t="s">
        <v>123</v>
      </c>
      <c r="C83" s="17" t="s">
        <v>37</v>
      </c>
      <c r="D83" s="111"/>
      <c r="E83" s="88"/>
      <c r="F83" s="9" t="e">
        <f t="shared" si="5"/>
        <v>#DIV/0!</v>
      </c>
      <c r="G83" s="9">
        <f t="shared" si="6"/>
        <v>0</v>
      </c>
      <c r="H83" s="120"/>
      <c r="I83" s="9" t="e">
        <f t="shared" si="7"/>
        <v>#DIV/0!</v>
      </c>
    </row>
    <row r="84" spans="1:10" ht="15.75" hidden="1" outlineLevel="1">
      <c r="A84" s="2"/>
      <c r="B84" s="12" t="s">
        <v>121</v>
      </c>
      <c r="C84" s="17" t="s">
        <v>37</v>
      </c>
      <c r="D84" s="111"/>
      <c r="E84" s="88"/>
      <c r="F84" s="9" t="e">
        <f t="shared" si="5"/>
        <v>#DIV/0!</v>
      </c>
      <c r="G84" s="9">
        <f t="shared" si="6"/>
        <v>0</v>
      </c>
      <c r="H84" s="120"/>
      <c r="I84" s="9" t="e">
        <f t="shared" si="7"/>
        <v>#DIV/0!</v>
      </c>
    </row>
    <row r="85" spans="1:10" ht="15.75" hidden="1" outlineLevel="1">
      <c r="A85" s="2"/>
      <c r="B85" s="12" t="s">
        <v>122</v>
      </c>
      <c r="C85" s="17" t="s">
        <v>37</v>
      </c>
      <c r="D85" s="111"/>
      <c r="E85" s="88"/>
      <c r="F85" s="9" t="e">
        <f t="shared" si="5"/>
        <v>#DIV/0!</v>
      </c>
      <c r="G85" s="9">
        <f t="shared" si="6"/>
        <v>0</v>
      </c>
      <c r="H85" s="120"/>
      <c r="I85" s="9" t="e">
        <f t="shared" si="7"/>
        <v>#DIV/0!</v>
      </c>
    </row>
    <row r="86" spans="1:10" ht="15.75" hidden="1" outlineLevel="1" collapsed="1">
      <c r="A86" s="2"/>
      <c r="B86" s="12" t="s">
        <v>124</v>
      </c>
      <c r="C86" s="17" t="s">
        <v>37</v>
      </c>
      <c r="D86" s="99"/>
      <c r="E86" s="88"/>
      <c r="F86" s="9" t="e">
        <f t="shared" si="5"/>
        <v>#DIV/0!</v>
      </c>
      <c r="G86" s="9">
        <f t="shared" si="6"/>
        <v>0</v>
      </c>
      <c r="H86" s="120"/>
      <c r="I86" s="9"/>
    </row>
    <row r="87" spans="1:10" ht="15.75" hidden="1" outlineLevel="1">
      <c r="A87" s="2"/>
      <c r="B87" s="12" t="s">
        <v>121</v>
      </c>
      <c r="C87" s="17" t="s">
        <v>37</v>
      </c>
      <c r="D87" s="99"/>
      <c r="E87" s="88"/>
      <c r="F87" s="9" t="e">
        <f t="shared" si="5"/>
        <v>#DIV/0!</v>
      </c>
      <c r="G87" s="9">
        <f t="shared" si="6"/>
        <v>0</v>
      </c>
      <c r="H87" s="120"/>
      <c r="I87" s="9" t="e">
        <f>ROUND(E87/H87*100,1)</f>
        <v>#DIV/0!</v>
      </c>
    </row>
    <row r="88" spans="1:10" ht="15.75" hidden="1" outlineLevel="1">
      <c r="A88" s="2"/>
      <c r="B88" s="12" t="s">
        <v>122</v>
      </c>
      <c r="C88" s="17" t="s">
        <v>37</v>
      </c>
      <c r="D88" s="111"/>
      <c r="E88" s="88"/>
      <c r="F88" s="9" t="e">
        <f t="shared" si="5"/>
        <v>#DIV/0!</v>
      </c>
      <c r="G88" s="9">
        <f t="shared" si="6"/>
        <v>0</v>
      </c>
      <c r="H88" s="120"/>
      <c r="I88" s="9"/>
    </row>
    <row r="89" spans="1:10" ht="15.75" collapsed="1">
      <c r="A89" s="2"/>
      <c r="B89" s="12" t="s">
        <v>125</v>
      </c>
      <c r="C89" s="17" t="s">
        <v>37</v>
      </c>
      <c r="D89" s="26">
        <f>D72-D73+D77-D78</f>
        <v>72.49634434779</v>
      </c>
      <c r="E89" s="28">
        <v>-161800.71</v>
      </c>
      <c r="F89" s="10">
        <f>ROUND(E89/D89*100,1)</f>
        <v>-223184.6</v>
      </c>
      <c r="G89" s="10">
        <f t="shared" si="6"/>
        <v>-161873.2063443478</v>
      </c>
      <c r="H89" s="10">
        <f>H72-H73+H77-H78</f>
        <v>4623</v>
      </c>
      <c r="I89" s="10">
        <f t="shared" ref="I89:I96" si="8">ROUND(E89/H89*100,1)</f>
        <v>-3499.9</v>
      </c>
      <c r="J89" t="s">
        <v>103</v>
      </c>
    </row>
    <row r="90" spans="1:10" ht="17.25" hidden="1" customHeight="1" outlineLevel="1">
      <c r="A90" s="2"/>
      <c r="B90" s="12" t="s">
        <v>126</v>
      </c>
      <c r="C90" s="17" t="s">
        <v>37</v>
      </c>
      <c r="D90" s="99"/>
      <c r="E90" s="14"/>
      <c r="F90" s="9"/>
      <c r="G90" s="9">
        <f t="shared" si="6"/>
        <v>0</v>
      </c>
      <c r="H90" s="121"/>
      <c r="I90" s="9" t="e">
        <f t="shared" si="8"/>
        <v>#DIV/0!</v>
      </c>
      <c r="J90" t="s">
        <v>103</v>
      </c>
    </row>
    <row r="91" spans="1:10" ht="17.25" hidden="1" customHeight="1" outlineLevel="1">
      <c r="A91" s="2"/>
      <c r="B91" s="12" t="s">
        <v>127</v>
      </c>
      <c r="C91" s="17" t="s">
        <v>37</v>
      </c>
      <c r="D91" s="111"/>
      <c r="E91" s="88"/>
      <c r="F91" s="9"/>
      <c r="G91" s="9">
        <f t="shared" si="6"/>
        <v>0</v>
      </c>
      <c r="H91" s="122"/>
      <c r="I91" s="9"/>
    </row>
    <row r="92" spans="1:10" ht="15.75" collapsed="1">
      <c r="A92" s="2"/>
      <c r="B92" s="12" t="s">
        <v>128</v>
      </c>
      <c r="C92" s="17" t="s">
        <v>37</v>
      </c>
      <c r="D92" s="111">
        <v>72.493344347838317</v>
      </c>
      <c r="E92" s="88"/>
      <c r="F92" s="9">
        <v>0</v>
      </c>
      <c r="G92" s="9">
        <f t="shared" si="6"/>
        <v>-72.493344347838317</v>
      </c>
      <c r="H92" s="86">
        <v>6700</v>
      </c>
      <c r="I92" s="9"/>
      <c r="J92" t="s">
        <v>103</v>
      </c>
    </row>
    <row r="93" spans="1:10" ht="17.25" customHeight="1">
      <c r="A93" s="2"/>
      <c r="B93" s="12" t="s">
        <v>129</v>
      </c>
      <c r="C93" s="17" t="s">
        <v>37</v>
      </c>
      <c r="D93" s="111">
        <f>D92*15%</f>
        <v>10.874001652175748</v>
      </c>
      <c r="E93" s="88"/>
      <c r="F93" s="9">
        <v>0</v>
      </c>
      <c r="G93" s="9">
        <f t="shared" si="6"/>
        <v>-10.874001652175748</v>
      </c>
      <c r="H93" s="86">
        <v>1358</v>
      </c>
      <c r="I93" s="9">
        <f t="shared" si="8"/>
        <v>0</v>
      </c>
      <c r="J93" t="s">
        <v>103</v>
      </c>
    </row>
    <row r="94" spans="1:10" ht="15.75" hidden="1" outlineLevel="1">
      <c r="A94" s="2"/>
      <c r="B94" s="12" t="s">
        <v>130</v>
      </c>
      <c r="C94" s="17" t="s">
        <v>37</v>
      </c>
      <c r="D94" s="111">
        <v>0</v>
      </c>
      <c r="E94" s="88">
        <v>0</v>
      </c>
      <c r="F94" s="9"/>
      <c r="G94" s="9">
        <f t="shared" si="6"/>
        <v>0</v>
      </c>
      <c r="H94" s="86"/>
      <c r="I94" s="9"/>
      <c r="J94" t="s">
        <v>103</v>
      </c>
    </row>
    <row r="95" spans="1:10" ht="15.75" hidden="1" outlineLevel="1">
      <c r="A95" s="2"/>
      <c r="B95" s="12" t="s">
        <v>131</v>
      </c>
      <c r="C95" s="17" t="s">
        <v>37</v>
      </c>
      <c r="D95" s="111"/>
      <c r="E95" s="88"/>
      <c r="F95" s="9" t="e">
        <f t="shared" si="5"/>
        <v>#DIV/0!</v>
      </c>
      <c r="G95" s="9">
        <f t="shared" si="6"/>
        <v>0</v>
      </c>
      <c r="H95" s="86"/>
      <c r="I95" s="9" t="e">
        <f t="shared" si="8"/>
        <v>#DIV/0!</v>
      </c>
    </row>
    <row r="96" spans="1:10" ht="15.75" collapsed="1">
      <c r="A96" s="2"/>
      <c r="B96" s="12" t="s">
        <v>132</v>
      </c>
      <c r="C96" s="17" t="s">
        <v>37</v>
      </c>
      <c r="D96" s="33">
        <f>D89-D93-D94</f>
        <v>61.62234269561425</v>
      </c>
      <c r="E96" s="34">
        <f>E89-E93-E94</f>
        <v>-161800.71</v>
      </c>
      <c r="F96" s="9">
        <f>ROUND(E96/D96*100,1)</f>
        <v>-262568.3</v>
      </c>
      <c r="G96" s="9">
        <f t="shared" si="6"/>
        <v>-161862.33234269562</v>
      </c>
      <c r="H96" s="86">
        <v>3265</v>
      </c>
      <c r="I96" s="9">
        <f t="shared" si="8"/>
        <v>-4955.6000000000004</v>
      </c>
      <c r="J96" t="s">
        <v>103</v>
      </c>
    </row>
    <row r="97" spans="1:12" ht="15.75" hidden="1" outlineLevel="1">
      <c r="A97" s="2"/>
      <c r="B97" s="123" t="s">
        <v>133</v>
      </c>
      <c r="C97" s="17" t="s">
        <v>37</v>
      </c>
      <c r="D97" s="124"/>
      <c r="E97" s="125"/>
      <c r="F97" s="126"/>
      <c r="G97" s="126"/>
      <c r="H97" s="102"/>
      <c r="I97" s="126"/>
    </row>
    <row r="98" spans="1:12" ht="15.75" hidden="1" outlineLevel="1">
      <c r="A98" s="2"/>
      <c r="B98" s="12" t="s">
        <v>134</v>
      </c>
      <c r="C98" s="17" t="s">
        <v>37</v>
      </c>
      <c r="D98" s="87"/>
      <c r="E98" s="14"/>
      <c r="F98" s="9">
        <f>IF(E98&gt;0,ROUND(E98/D98*100,1),0)</f>
        <v>0</v>
      </c>
      <c r="G98" s="9">
        <f>E98-D98</f>
        <v>0</v>
      </c>
      <c r="H98" s="102"/>
      <c r="I98" s="7"/>
    </row>
    <row r="99" spans="1:12" ht="16.5" hidden="1" customHeight="1" outlineLevel="1">
      <c r="A99" s="2"/>
      <c r="B99" s="12" t="s">
        <v>135</v>
      </c>
      <c r="C99" s="17" t="s">
        <v>37</v>
      </c>
      <c r="D99" s="87"/>
      <c r="E99" s="14"/>
      <c r="F99" s="7"/>
      <c r="G99" s="7"/>
      <c r="H99" s="102"/>
      <c r="I99" s="7"/>
    </row>
    <row r="100" spans="1:12" ht="16.5" hidden="1" customHeight="1" outlineLevel="1">
      <c r="A100" s="127"/>
      <c r="B100" s="128" t="s">
        <v>119</v>
      </c>
      <c r="C100" s="17" t="s">
        <v>37</v>
      </c>
      <c r="D100" s="129">
        <v>0</v>
      </c>
      <c r="E100" s="130"/>
      <c r="F100" s="131"/>
      <c r="G100" s="131"/>
      <c r="H100" s="132"/>
      <c r="I100" s="131"/>
    </row>
    <row r="101" spans="1:12" ht="15.75" collapsed="1">
      <c r="A101" s="2" t="s">
        <v>136</v>
      </c>
      <c r="B101" s="3" t="s">
        <v>137</v>
      </c>
      <c r="C101" s="17" t="s">
        <v>37</v>
      </c>
      <c r="D101" s="87"/>
      <c r="E101" s="88"/>
      <c r="F101" s="9"/>
      <c r="G101" s="9"/>
      <c r="H101" s="7"/>
      <c r="I101" s="9"/>
    </row>
    <row r="102" spans="1:12" ht="15.75">
      <c r="A102" s="2"/>
      <c r="B102" s="8" t="s">
        <v>138</v>
      </c>
      <c r="C102" s="17" t="s">
        <v>37</v>
      </c>
      <c r="D102" s="6">
        <f>D103+D104+D105+D106+D107</f>
        <v>61473.893501652179</v>
      </c>
      <c r="E102" s="133">
        <f>E103+E104+E105+E106+E107</f>
        <v>56055.74</v>
      </c>
      <c r="F102" s="10">
        <f>ROUND(E102/D102*100,1)</f>
        <v>91.2</v>
      </c>
      <c r="G102" s="10">
        <f>E102-D102</f>
        <v>-5418.1535016521811</v>
      </c>
      <c r="H102" s="10">
        <f>H103+H104+H105+H106+H107</f>
        <v>58875</v>
      </c>
      <c r="I102" s="10">
        <f>ROUND(E102/H102*100,1)</f>
        <v>95.2</v>
      </c>
      <c r="J102" s="11" t="s">
        <v>139</v>
      </c>
    </row>
    <row r="103" spans="1:12" ht="15.75">
      <c r="A103" s="2"/>
      <c r="B103" s="119" t="s">
        <v>140</v>
      </c>
      <c r="C103" s="17" t="s">
        <v>37</v>
      </c>
      <c r="D103" s="34">
        <f>D93</f>
        <v>10.874001652175748</v>
      </c>
      <c r="E103" s="88">
        <f>E93</f>
        <v>0</v>
      </c>
      <c r="F103" s="9">
        <f>ROUND(E103/D103*100,1)</f>
        <v>0</v>
      </c>
      <c r="G103" s="9">
        <f>E103-D103</f>
        <v>-10.874001652175748</v>
      </c>
      <c r="H103" s="86">
        <f>H93</f>
        <v>1358</v>
      </c>
      <c r="I103" s="9">
        <f>ROUND(E103/H103*100,1)</f>
        <v>0</v>
      </c>
      <c r="J103" s="11" t="s">
        <v>139</v>
      </c>
    </row>
    <row r="104" spans="1:12" ht="17.25" customHeight="1">
      <c r="A104" s="2"/>
      <c r="B104" s="119" t="s">
        <v>141</v>
      </c>
      <c r="C104" s="17" t="s">
        <v>37</v>
      </c>
      <c r="D104" s="87"/>
      <c r="E104" s="88"/>
      <c r="F104" s="7"/>
      <c r="G104" s="7"/>
      <c r="H104" s="86"/>
      <c r="I104" s="9"/>
      <c r="J104" s="11"/>
    </row>
    <row r="105" spans="1:12" ht="17.25" customHeight="1">
      <c r="A105" s="2"/>
      <c r="B105" s="134" t="s">
        <v>142</v>
      </c>
      <c r="C105" s="17" t="s">
        <v>37</v>
      </c>
      <c r="D105" s="34">
        <f>D94</f>
        <v>0</v>
      </c>
      <c r="E105" s="34">
        <f>E94</f>
        <v>0</v>
      </c>
      <c r="F105" s="9"/>
      <c r="G105" s="7">
        <f>E105-D105</f>
        <v>0</v>
      </c>
      <c r="H105" s="86">
        <v>0</v>
      </c>
      <c r="I105" s="9"/>
      <c r="J105" s="11" t="s">
        <v>139</v>
      </c>
    </row>
    <row r="106" spans="1:12" ht="19.5" customHeight="1">
      <c r="A106" s="2"/>
      <c r="B106" s="119" t="s">
        <v>143</v>
      </c>
      <c r="C106" s="17" t="s">
        <v>37</v>
      </c>
      <c r="D106" s="91">
        <f>E106</f>
        <v>32588.35</v>
      </c>
      <c r="E106" s="14">
        <v>32588.35</v>
      </c>
      <c r="F106" s="9">
        <f>ROUND(E106/D106*100,1)</f>
        <v>100</v>
      </c>
      <c r="G106" s="135">
        <f>E106-D106</f>
        <v>0</v>
      </c>
      <c r="H106" s="86">
        <v>36205</v>
      </c>
      <c r="I106" s="9">
        <f>ROUND(E106/H106*100,1)</f>
        <v>90</v>
      </c>
      <c r="J106" s="11" t="s">
        <v>139</v>
      </c>
    </row>
    <row r="107" spans="1:12" ht="20.25" customHeight="1">
      <c r="A107" s="2"/>
      <c r="B107" s="136" t="s">
        <v>144</v>
      </c>
      <c r="C107" s="17" t="s">
        <v>37</v>
      </c>
      <c r="D107" s="6">
        <f>SUM(D108:D112)</f>
        <v>28874.669500000004</v>
      </c>
      <c r="E107" s="6">
        <f>SUM(E108:E112)</f>
        <v>23467.39</v>
      </c>
      <c r="F107" s="10">
        <f>ROUND(E107/D107*100,1)</f>
        <v>81.3</v>
      </c>
      <c r="G107" s="10">
        <f>E107-D107</f>
        <v>-5407.2795000000042</v>
      </c>
      <c r="H107" s="10">
        <f>SUM(H108:H112)</f>
        <v>21312</v>
      </c>
      <c r="I107" s="10">
        <f>IF(H107&gt;0,ROUND(E107/H107*100,1),0)</f>
        <v>110.1</v>
      </c>
      <c r="J107" s="11" t="s">
        <v>139</v>
      </c>
    </row>
    <row r="108" spans="1:12" ht="15.75">
      <c r="A108" s="2"/>
      <c r="B108" s="137" t="str">
        <f>'[1]1полугодие'!$A$245</f>
        <v xml:space="preserve">  - налог на имущ, по неиспольз.объектам Ангрен</v>
      </c>
      <c r="C108" s="17" t="s">
        <v>37</v>
      </c>
      <c r="D108" s="87">
        <v>0</v>
      </c>
      <c r="E108" s="88"/>
      <c r="F108" s="7"/>
      <c r="G108" s="7"/>
      <c r="H108" s="86"/>
      <c r="I108" s="7"/>
    </row>
    <row r="109" spans="1:12" s="19" customFormat="1" ht="15.75">
      <c r="A109" s="15"/>
      <c r="B109" s="30" t="s">
        <v>146</v>
      </c>
      <c r="C109" s="17" t="s">
        <v>37</v>
      </c>
      <c r="D109" s="87">
        <v>2314.9465</v>
      </c>
      <c r="E109" s="88">
        <v>1902.79</v>
      </c>
      <c r="F109" s="18">
        <f>ROUND(E109/D109*100,1)</f>
        <v>82.2</v>
      </c>
      <c r="G109" s="18">
        <f>E109-D109</f>
        <v>-412.15650000000005</v>
      </c>
      <c r="H109" s="86">
        <v>4342</v>
      </c>
      <c r="I109" s="34">
        <f>ROUND(E109/H109*100,1)</f>
        <v>43.8</v>
      </c>
      <c r="J109" s="11" t="s">
        <v>139</v>
      </c>
      <c r="K109"/>
      <c r="L109"/>
    </row>
    <row r="110" spans="1:12" ht="15.75">
      <c r="A110" s="2"/>
      <c r="B110" s="138" t="s">
        <v>147</v>
      </c>
      <c r="C110" s="17" t="s">
        <v>37</v>
      </c>
      <c r="D110" s="87">
        <v>404.46499999999997</v>
      </c>
      <c r="E110" s="88">
        <v>463</v>
      </c>
      <c r="F110" s="9">
        <f>ROUND(E110/D110*100,1)</f>
        <v>114.5</v>
      </c>
      <c r="G110" s="9">
        <f>E110-D110</f>
        <v>58.535000000000025</v>
      </c>
      <c r="H110" s="86">
        <v>410</v>
      </c>
      <c r="I110" s="7">
        <f>ROUND(E110/H110*100,1)</f>
        <v>112.9</v>
      </c>
      <c r="J110" s="11" t="s">
        <v>139</v>
      </c>
    </row>
    <row r="111" spans="1:12" ht="15.75">
      <c r="A111" s="2"/>
      <c r="B111" s="138" t="s">
        <v>148</v>
      </c>
      <c r="C111" s="17" t="s">
        <v>37</v>
      </c>
      <c r="D111" s="87">
        <v>5904.6450000000004</v>
      </c>
      <c r="E111" s="88">
        <v>5754.51</v>
      </c>
      <c r="F111" s="9">
        <f>ROUND(E111/D111*100,1)</f>
        <v>97.5</v>
      </c>
      <c r="G111" s="9">
        <f>E111-D111</f>
        <v>-150.13500000000022</v>
      </c>
      <c r="H111" s="86">
        <v>5020</v>
      </c>
      <c r="I111" s="7">
        <f>ROUND(E111/H111*100,1)</f>
        <v>114.6</v>
      </c>
      <c r="J111" s="11" t="s">
        <v>139</v>
      </c>
    </row>
    <row r="112" spans="1:12" ht="15.75">
      <c r="A112" s="2"/>
      <c r="B112" s="138" t="s">
        <v>149</v>
      </c>
      <c r="C112" s="17" t="s">
        <v>37</v>
      </c>
      <c r="D112" s="87">
        <v>20250.613000000001</v>
      </c>
      <c r="E112" s="88">
        <v>15347.09</v>
      </c>
      <c r="F112" s="9">
        <f>ROUND(E112/D112*100,1)</f>
        <v>75.8</v>
      </c>
      <c r="G112" s="9">
        <f>E112-D112</f>
        <v>-4903.523000000001</v>
      </c>
      <c r="H112" s="86">
        <v>11540</v>
      </c>
      <c r="I112" s="7">
        <f>ROUND(E112/H112*100,1)</f>
        <v>133</v>
      </c>
      <c r="J112" s="11" t="s">
        <v>139</v>
      </c>
    </row>
    <row r="113" spans="1:13" ht="21" customHeight="1">
      <c r="A113" s="2"/>
      <c r="B113" s="139" t="s">
        <v>150</v>
      </c>
      <c r="C113" s="17" t="s">
        <v>37</v>
      </c>
      <c r="D113" s="6">
        <f>SUM(D115:D121)</f>
        <v>18894.724999999999</v>
      </c>
      <c r="E113" s="6">
        <f>SUM(E115:E121)</f>
        <v>25285.43</v>
      </c>
      <c r="F113" s="10">
        <f>ROUND(E113/D113*100,1)</f>
        <v>133.80000000000001</v>
      </c>
      <c r="G113" s="10">
        <f>E113-D113</f>
        <v>6390.7050000000017</v>
      </c>
      <c r="H113" s="10">
        <f>SUM(H115:H121)</f>
        <v>29473</v>
      </c>
      <c r="I113" s="10">
        <f>ROUND(E113/H113*100,1)</f>
        <v>85.8</v>
      </c>
      <c r="J113" s="11" t="s">
        <v>139</v>
      </c>
    </row>
    <row r="114" spans="1:13" ht="15.75">
      <c r="A114" s="2"/>
      <c r="B114" s="2" t="s">
        <v>12</v>
      </c>
      <c r="C114" s="17" t="s">
        <v>37</v>
      </c>
      <c r="D114" s="87"/>
      <c r="E114" s="88"/>
      <c r="F114" s="7"/>
      <c r="G114" s="7"/>
      <c r="H114" s="102"/>
      <c r="I114" s="7"/>
    </row>
    <row r="115" spans="1:13" ht="21" hidden="1" customHeight="1" outlineLevel="1">
      <c r="A115" s="2"/>
      <c r="B115" s="140" t="s">
        <v>210</v>
      </c>
      <c r="C115" s="17" t="s">
        <v>37</v>
      </c>
      <c r="D115" s="91"/>
      <c r="E115" s="14"/>
      <c r="F115" s="9"/>
      <c r="G115" s="9">
        <f t="shared" ref="G115:G122" si="9">E115-D115</f>
        <v>0</v>
      </c>
      <c r="H115" s="86">
        <v>0</v>
      </c>
      <c r="I115" s="9" t="e">
        <f t="shared" ref="I115:I122" si="10">ROUND(E115/H115*100,1)</f>
        <v>#DIV/0!</v>
      </c>
      <c r="J115" s="11" t="s">
        <v>139</v>
      </c>
    </row>
    <row r="116" spans="1:13" ht="30" hidden="1" customHeight="1" outlineLevel="1">
      <c r="A116" s="2"/>
      <c r="B116" s="140" t="s">
        <v>211</v>
      </c>
      <c r="C116" s="17" t="s">
        <v>37</v>
      </c>
      <c r="D116" s="91"/>
      <c r="E116" s="14"/>
      <c r="F116" s="9"/>
      <c r="G116" s="9">
        <f t="shared" si="9"/>
        <v>0</v>
      </c>
      <c r="H116" s="86">
        <v>0</v>
      </c>
      <c r="I116" s="9" t="e">
        <f t="shared" si="10"/>
        <v>#DIV/0!</v>
      </c>
      <c r="J116" s="11" t="s">
        <v>139</v>
      </c>
    </row>
    <row r="117" spans="1:13" ht="15.75" collapsed="1">
      <c r="A117" s="2"/>
      <c r="B117" s="140" t="s">
        <v>204</v>
      </c>
      <c r="C117" s="17" t="s">
        <v>37</v>
      </c>
      <c r="D117" s="18">
        <f>E117</f>
        <v>17355.46</v>
      </c>
      <c r="E117" s="18">
        <v>17355.46</v>
      </c>
      <c r="F117" s="9">
        <f>ROUND(E117/D117*100,1)</f>
        <v>100</v>
      </c>
      <c r="G117" s="9">
        <f t="shared" si="9"/>
        <v>0</v>
      </c>
      <c r="H117" s="86">
        <v>28227</v>
      </c>
      <c r="I117" s="9">
        <f t="shared" si="10"/>
        <v>61.5</v>
      </c>
      <c r="J117" s="11" t="s">
        <v>139</v>
      </c>
    </row>
    <row r="118" spans="1:13" ht="34.5" customHeight="1">
      <c r="A118" s="127"/>
      <c r="B118" s="2" t="e">
        <f>#REF!</f>
        <v>#REF!</v>
      </c>
      <c r="C118" s="17" t="s">
        <v>37</v>
      </c>
      <c r="D118" s="91">
        <v>1539.2650000000001</v>
      </c>
      <c r="E118" s="141">
        <v>1776.84</v>
      </c>
      <c r="F118" s="9">
        <f>ROUND(E118/D118*100,1)</f>
        <v>115.4</v>
      </c>
      <c r="G118" s="35">
        <f>E118-D118</f>
        <v>237.57499999999982</v>
      </c>
      <c r="H118" s="86">
        <v>1219</v>
      </c>
      <c r="I118" s="9">
        <f t="shared" si="10"/>
        <v>145.80000000000001</v>
      </c>
      <c r="J118" s="11" t="s">
        <v>139</v>
      </c>
    </row>
    <row r="119" spans="1:13" ht="36.75" hidden="1" customHeight="1" outlineLevel="1">
      <c r="A119" s="2"/>
      <c r="B119" s="2" t="s">
        <v>154</v>
      </c>
      <c r="C119" s="17" t="s">
        <v>37</v>
      </c>
      <c r="D119" s="91"/>
      <c r="E119" s="14"/>
      <c r="F119" s="9" t="e">
        <f t="shared" ref="F119:F120" si="11">ROUND(E119/D119*100,1)</f>
        <v>#DIV/0!</v>
      </c>
      <c r="G119" s="35">
        <f t="shared" si="9"/>
        <v>0</v>
      </c>
      <c r="H119" s="86"/>
      <c r="I119" s="9"/>
      <c r="J119" s="11" t="s">
        <v>139</v>
      </c>
      <c r="M119">
        <f>15287.1+3820.2</f>
        <v>19107.3</v>
      </c>
    </row>
    <row r="120" spans="1:13" ht="36" hidden="1" customHeight="1" outlineLevel="1">
      <c r="A120" s="2"/>
      <c r="B120" s="2" t="s">
        <v>155</v>
      </c>
      <c r="C120" s="17" t="s">
        <v>37</v>
      </c>
      <c r="D120" s="18"/>
      <c r="E120" s="14"/>
      <c r="F120" s="9" t="e">
        <f t="shared" si="11"/>
        <v>#DIV/0!</v>
      </c>
      <c r="G120" s="18">
        <f t="shared" si="9"/>
        <v>0</v>
      </c>
      <c r="H120" s="86"/>
      <c r="I120" s="9" t="e">
        <f t="shared" si="10"/>
        <v>#DIV/0!</v>
      </c>
      <c r="J120" s="11" t="s">
        <v>139</v>
      </c>
    </row>
    <row r="121" spans="1:13" ht="24" customHeight="1" collapsed="1">
      <c r="A121" s="2"/>
      <c r="B121" s="150" t="s">
        <v>219</v>
      </c>
      <c r="C121" s="17" t="s">
        <v>37</v>
      </c>
      <c r="D121" s="170">
        <v>0</v>
      </c>
      <c r="E121" s="14">
        <v>6153.13</v>
      </c>
      <c r="F121" s="9"/>
      <c r="G121" s="18">
        <f t="shared" si="9"/>
        <v>6153.13</v>
      </c>
      <c r="H121" s="86">
        <v>27</v>
      </c>
      <c r="I121" s="9"/>
      <c r="J121" s="11"/>
    </row>
    <row r="122" spans="1:13" ht="15.75">
      <c r="A122" s="2"/>
      <c r="B122" s="3" t="s">
        <v>156</v>
      </c>
      <c r="C122" s="17" t="s">
        <v>37</v>
      </c>
      <c r="D122" s="6">
        <f>D102+D113</f>
        <v>80368.618501652178</v>
      </c>
      <c r="E122" s="6">
        <f>E102+E113</f>
        <v>81341.17</v>
      </c>
      <c r="F122" s="10">
        <f>ROUND(E122/D122*100,1)</f>
        <v>101.2</v>
      </c>
      <c r="G122" s="10">
        <f t="shared" si="9"/>
        <v>972.5514983478206</v>
      </c>
      <c r="H122" s="10">
        <f>H102+H113</f>
        <v>88348</v>
      </c>
      <c r="I122" s="10">
        <f t="shared" si="10"/>
        <v>92.1</v>
      </c>
      <c r="J122" s="11" t="s">
        <v>139</v>
      </c>
    </row>
    <row r="123" spans="1:13" ht="15.75">
      <c r="A123" s="2" t="s">
        <v>157</v>
      </c>
      <c r="B123" s="3" t="s">
        <v>158</v>
      </c>
      <c r="C123" s="17" t="s">
        <v>37</v>
      </c>
      <c r="D123" s="142" t="s">
        <v>73</v>
      </c>
      <c r="E123" s="133" t="s">
        <v>73</v>
      </c>
      <c r="F123" s="10" t="s">
        <v>73</v>
      </c>
      <c r="G123" s="10" t="s">
        <v>73</v>
      </c>
      <c r="H123" s="10" t="s">
        <v>73</v>
      </c>
      <c r="I123" s="10" t="s">
        <v>73</v>
      </c>
    </row>
    <row r="124" spans="1:13" ht="27" customHeight="1">
      <c r="A124" s="2"/>
      <c r="B124" s="143" t="s">
        <v>159</v>
      </c>
      <c r="C124" s="17" t="s">
        <v>37</v>
      </c>
      <c r="D124" s="142" t="s">
        <v>73</v>
      </c>
      <c r="E124" s="133" t="s">
        <v>73</v>
      </c>
      <c r="F124" s="10" t="s">
        <v>73</v>
      </c>
      <c r="G124" s="10" t="s">
        <v>73</v>
      </c>
      <c r="H124" s="9" t="s">
        <v>73</v>
      </c>
      <c r="I124" s="10" t="s">
        <v>73</v>
      </c>
      <c r="J124" s="36"/>
      <c r="K124" s="1"/>
    </row>
    <row r="125" spans="1:13" ht="18" hidden="1" customHeight="1" outlineLevel="1">
      <c r="A125" s="2"/>
      <c r="B125" s="12" t="s">
        <v>160</v>
      </c>
      <c r="C125" s="17" t="s">
        <v>37</v>
      </c>
      <c r="D125" s="91"/>
      <c r="E125" s="14"/>
      <c r="F125" s="9"/>
      <c r="G125" s="9"/>
      <c r="H125" s="9"/>
      <c r="I125" s="9"/>
    </row>
    <row r="126" spans="1:13" ht="24" customHeight="1" collapsed="1">
      <c r="A126" s="2" t="s">
        <v>161</v>
      </c>
      <c r="B126" s="3" t="s">
        <v>162</v>
      </c>
      <c r="C126" s="17" t="s">
        <v>37</v>
      </c>
      <c r="D126" s="6">
        <f>SUM(D128:D131)</f>
        <v>469646.32631565211</v>
      </c>
      <c r="E126" s="6">
        <f>SUM(E128:E131)</f>
        <v>398805.10000000003</v>
      </c>
      <c r="F126" s="10">
        <f>ROUND(E126/D126*100,1)</f>
        <v>84.9</v>
      </c>
      <c r="G126" s="10">
        <f t="shared" ref="G126:G147" si="12">E126-D126</f>
        <v>-70841.226315652078</v>
      </c>
      <c r="H126" s="10">
        <f>SUM(H128:H131)</f>
        <v>349811.20000000001</v>
      </c>
      <c r="I126" s="10">
        <f>ROUND(E126/H126*100,1)</f>
        <v>114</v>
      </c>
      <c r="J126" s="11" t="s">
        <v>139</v>
      </c>
      <c r="M126" s="11"/>
    </row>
    <row r="127" spans="1:13" ht="15.75">
      <c r="A127" s="2"/>
      <c r="B127" s="2" t="s">
        <v>163</v>
      </c>
      <c r="C127" s="17" t="s">
        <v>37</v>
      </c>
      <c r="D127" s="18"/>
      <c r="E127" s="18"/>
      <c r="F127" s="9"/>
      <c r="G127" s="9">
        <f t="shared" si="12"/>
        <v>0</v>
      </c>
      <c r="H127" s="9"/>
      <c r="I127" s="9"/>
      <c r="M127" s="11"/>
    </row>
    <row r="128" spans="1:13" ht="19.5" customHeight="1">
      <c r="A128" s="2"/>
      <c r="B128" s="119" t="s">
        <v>164</v>
      </c>
      <c r="C128" s="17" t="s">
        <v>37</v>
      </c>
      <c r="D128" s="91">
        <v>190876.859</v>
      </c>
      <c r="E128" s="14">
        <v>152073.79999999999</v>
      </c>
      <c r="F128" s="18">
        <f>ROUND(E128/D128*100,1)</f>
        <v>79.7</v>
      </c>
      <c r="G128" s="18">
        <f t="shared" si="12"/>
        <v>-38803.059000000008</v>
      </c>
      <c r="H128" s="86">
        <v>139835.70000000001</v>
      </c>
      <c r="I128" s="9">
        <f>ROUND(E128/H128*100,1)</f>
        <v>108.8</v>
      </c>
      <c r="J128" s="11" t="s">
        <v>139</v>
      </c>
    </row>
    <row r="129" spans="1:13" ht="18" customHeight="1">
      <c r="A129" s="2"/>
      <c r="B129" s="119" t="s">
        <v>165</v>
      </c>
      <c r="C129" s="17" t="s">
        <v>37</v>
      </c>
      <c r="D129" s="91">
        <v>164090.75375</v>
      </c>
      <c r="E129" s="14">
        <v>118110.1</v>
      </c>
      <c r="F129" s="18">
        <f>ROUND(E129/D129*100,1)</f>
        <v>72</v>
      </c>
      <c r="G129" s="18">
        <f t="shared" si="12"/>
        <v>-45980.653749999998</v>
      </c>
      <c r="H129" s="86">
        <v>104109.5</v>
      </c>
      <c r="I129" s="9">
        <f>ROUND(E129/H129*100,1)</f>
        <v>113.4</v>
      </c>
      <c r="J129" s="11" t="s">
        <v>139</v>
      </c>
    </row>
    <row r="130" spans="1:13" ht="31.5">
      <c r="A130" s="2"/>
      <c r="B130" s="119" t="s">
        <v>166</v>
      </c>
      <c r="C130" s="17" t="s">
        <v>37</v>
      </c>
      <c r="D130" s="91">
        <v>96451.195999999996</v>
      </c>
      <c r="E130" s="14">
        <v>108206.9</v>
      </c>
      <c r="F130" s="18">
        <f>ROUND(E130/D130*100,1)</f>
        <v>112.2</v>
      </c>
      <c r="G130" s="18">
        <f t="shared" si="12"/>
        <v>11755.703999999998</v>
      </c>
      <c r="H130" s="86">
        <v>86863.2</v>
      </c>
      <c r="I130" s="9">
        <f>ROUND(E130/H130*100,1)</f>
        <v>124.6</v>
      </c>
      <c r="J130" s="11" t="s">
        <v>139</v>
      </c>
    </row>
    <row r="131" spans="1:13" ht="15.75">
      <c r="A131" s="2"/>
      <c r="B131" s="119" t="s">
        <v>167</v>
      </c>
      <c r="C131" s="17" t="s">
        <v>37</v>
      </c>
      <c r="D131" s="91">
        <v>18227.517565652171</v>
      </c>
      <c r="E131" s="14">
        <v>20414.3</v>
      </c>
      <c r="F131" s="18">
        <f>ROUND(E131/D131*100,1)</f>
        <v>112</v>
      </c>
      <c r="G131" s="18">
        <f t="shared" si="12"/>
        <v>2186.7824343478278</v>
      </c>
      <c r="H131" s="86">
        <v>19002.8</v>
      </c>
      <c r="I131" s="9">
        <f>ROUND(E131/H131*100,1)</f>
        <v>107.4</v>
      </c>
      <c r="J131" s="11" t="s">
        <v>139</v>
      </c>
    </row>
    <row r="132" spans="1:13" ht="23.25" customHeight="1">
      <c r="A132" s="13" t="s">
        <v>168</v>
      </c>
      <c r="B132" s="144" t="s">
        <v>169</v>
      </c>
      <c r="C132" s="17" t="s">
        <v>37</v>
      </c>
      <c r="D132" s="91"/>
      <c r="E132" s="133"/>
      <c r="F132" s="6"/>
      <c r="G132" s="6">
        <f>E132-D132</f>
        <v>0</v>
      </c>
      <c r="H132" s="86">
        <v>2498899</v>
      </c>
      <c r="I132" s="10">
        <f>IF(H132&gt;0,ROUND(E132/H132*100,1),0)</f>
        <v>0</v>
      </c>
      <c r="K132" t="s">
        <v>170</v>
      </c>
    </row>
    <row r="133" spans="1:13" ht="15.75">
      <c r="A133" s="2"/>
      <c r="B133" s="2" t="s">
        <v>12</v>
      </c>
      <c r="C133" s="17" t="s">
        <v>37</v>
      </c>
      <c r="D133" s="91"/>
      <c r="E133" s="14"/>
      <c r="F133" s="9"/>
      <c r="G133" s="9">
        <f t="shared" si="12"/>
        <v>0</v>
      </c>
      <c r="H133" s="86"/>
      <c r="I133" s="9"/>
    </row>
    <row r="134" spans="1:13" ht="24.75" customHeight="1">
      <c r="A134" s="2"/>
      <c r="B134" s="8" t="s">
        <v>171</v>
      </c>
      <c r="C134" s="17" t="s">
        <v>37</v>
      </c>
      <c r="D134" s="87"/>
      <c r="E134" s="88">
        <v>2576535.9700000002</v>
      </c>
      <c r="F134" s="7"/>
      <c r="G134" s="7">
        <f t="shared" si="12"/>
        <v>2576535.9700000002</v>
      </c>
      <c r="H134" s="86">
        <v>1986193</v>
      </c>
      <c r="I134" s="7">
        <f>IF(H134&gt;0,ROUND(E134/H134*100,1),0)</f>
        <v>129.69999999999999</v>
      </c>
      <c r="K134" t="s">
        <v>170</v>
      </c>
      <c r="L134" t="s">
        <v>170</v>
      </c>
      <c r="M134" t="s">
        <v>172</v>
      </c>
    </row>
    <row r="135" spans="1:13" ht="15.75">
      <c r="A135" s="2"/>
      <c r="B135" s="2" t="s">
        <v>163</v>
      </c>
      <c r="C135" s="17" t="s">
        <v>37</v>
      </c>
      <c r="D135" s="91"/>
      <c r="E135" s="14"/>
      <c r="F135" s="9"/>
      <c r="G135" s="9">
        <f t="shared" si="12"/>
        <v>0</v>
      </c>
      <c r="H135" s="86"/>
      <c r="I135" s="9"/>
    </row>
    <row r="136" spans="1:13" ht="15.75">
      <c r="A136" s="2"/>
      <c r="B136" s="119" t="s">
        <v>173</v>
      </c>
      <c r="C136" s="17" t="s">
        <v>37</v>
      </c>
      <c r="D136" s="91"/>
      <c r="E136" s="14">
        <v>1291825.24</v>
      </c>
      <c r="F136" s="9"/>
      <c r="G136" s="9">
        <f t="shared" si="12"/>
        <v>1291825.24</v>
      </c>
      <c r="H136" s="86">
        <v>1113123</v>
      </c>
      <c r="I136" s="9">
        <f>IF(H136&gt;0,ROUND(E136/H136*100,1),0)</f>
        <v>116.1</v>
      </c>
      <c r="K136" t="s">
        <v>170</v>
      </c>
      <c r="L136" t="s">
        <v>170</v>
      </c>
      <c r="M136" t="s">
        <v>174</v>
      </c>
    </row>
    <row r="137" spans="1:13" ht="15.75">
      <c r="A137" s="2"/>
      <c r="B137" s="119" t="s">
        <v>175</v>
      </c>
      <c r="C137" s="17" t="s">
        <v>37</v>
      </c>
      <c r="D137" s="91"/>
      <c r="E137" s="14">
        <v>274.89999999999998</v>
      </c>
      <c r="F137" s="9"/>
      <c r="G137" s="9">
        <f t="shared" si="12"/>
        <v>274.89999999999998</v>
      </c>
      <c r="H137" s="86">
        <v>354</v>
      </c>
      <c r="I137" s="9">
        <f>IF(H137&gt;0,ROUND(E137/H137*100,1),0)</f>
        <v>77.7</v>
      </c>
      <c r="K137" t="s">
        <v>170</v>
      </c>
      <c r="L137" t="s">
        <v>170</v>
      </c>
      <c r="M137" t="s">
        <v>176</v>
      </c>
    </row>
    <row r="138" spans="1:13" ht="15.75">
      <c r="A138" s="2"/>
      <c r="B138" s="12" t="s">
        <v>177</v>
      </c>
      <c r="C138" s="17" t="s">
        <v>37</v>
      </c>
      <c r="D138" s="91"/>
      <c r="E138" s="14">
        <v>954710.05</v>
      </c>
      <c r="F138" s="9"/>
      <c r="G138" s="9">
        <f t="shared" si="12"/>
        <v>954710.05</v>
      </c>
      <c r="H138" s="86">
        <v>512706</v>
      </c>
      <c r="I138" s="9">
        <f>IF(H138&gt;0,ROUND(E138/H138*100,1),0)</f>
        <v>186.2</v>
      </c>
      <c r="K138" t="s">
        <v>170</v>
      </c>
      <c r="L138" t="s">
        <v>170</v>
      </c>
      <c r="M138" t="s">
        <v>178</v>
      </c>
    </row>
    <row r="139" spans="1:13" ht="15.75">
      <c r="A139" s="2"/>
      <c r="B139" s="2" t="s">
        <v>52</v>
      </c>
      <c r="C139" s="17" t="s">
        <v>37</v>
      </c>
      <c r="D139" s="91"/>
      <c r="E139" s="14"/>
      <c r="F139" s="9"/>
      <c r="G139" s="9">
        <f t="shared" si="12"/>
        <v>0</v>
      </c>
      <c r="H139" s="86"/>
      <c r="I139" s="9"/>
      <c r="K139" t="s">
        <v>170</v>
      </c>
      <c r="L139" t="s">
        <v>170</v>
      </c>
    </row>
    <row r="140" spans="1:13" ht="20.25" customHeight="1">
      <c r="A140" s="145"/>
      <c r="B140" s="146" t="s">
        <v>179</v>
      </c>
      <c r="C140" s="17" t="s">
        <v>37</v>
      </c>
      <c r="D140" s="147"/>
      <c r="E140" s="148">
        <v>237448.23</v>
      </c>
      <c r="F140" s="9"/>
      <c r="G140" s="149">
        <f t="shared" si="12"/>
        <v>237448.23</v>
      </c>
      <c r="H140" s="86">
        <v>184203</v>
      </c>
      <c r="I140" s="9">
        <f>IF(H140&gt;0,ROUND(E140/H140*100,1),0)</f>
        <v>128.9</v>
      </c>
      <c r="K140" t="s">
        <v>170</v>
      </c>
      <c r="L140" t="s">
        <v>170</v>
      </c>
      <c r="M140" t="s">
        <v>180</v>
      </c>
    </row>
    <row r="141" spans="1:13" ht="15.75">
      <c r="A141" s="2"/>
      <c r="B141" s="2" t="s">
        <v>163</v>
      </c>
      <c r="C141" s="17" t="s">
        <v>37</v>
      </c>
      <c r="D141" s="91"/>
      <c r="E141" s="14"/>
      <c r="F141" s="9"/>
      <c r="G141" s="9">
        <f t="shared" si="12"/>
        <v>0</v>
      </c>
      <c r="H141" s="86"/>
      <c r="I141" s="9"/>
      <c r="K141" t="s">
        <v>170</v>
      </c>
      <c r="L141" t="s">
        <v>170</v>
      </c>
    </row>
    <row r="142" spans="1:13" ht="20.25" customHeight="1">
      <c r="A142" s="2"/>
      <c r="B142" s="119" t="s">
        <v>181</v>
      </c>
      <c r="C142" s="17" t="s">
        <v>37</v>
      </c>
      <c r="D142" s="91"/>
      <c r="E142" s="14">
        <v>108761.42</v>
      </c>
      <c r="F142" s="9"/>
      <c r="G142" s="9">
        <f t="shared" si="12"/>
        <v>108761.42</v>
      </c>
      <c r="H142" s="86">
        <v>77869</v>
      </c>
      <c r="I142" s="9">
        <f>IF(H142&gt;0,ROUND(E142/H142*100,1),0)</f>
        <v>139.69999999999999</v>
      </c>
      <c r="K142" t="s">
        <v>170</v>
      </c>
      <c r="L142" t="s">
        <v>170</v>
      </c>
      <c r="M142" t="s">
        <v>182</v>
      </c>
    </row>
    <row r="143" spans="1:13" ht="15.75">
      <c r="A143" s="2"/>
      <c r="B143" s="119" t="s">
        <v>183</v>
      </c>
      <c r="C143" s="17" t="s">
        <v>37</v>
      </c>
      <c r="D143" s="91"/>
      <c r="E143" s="14">
        <v>109975.14</v>
      </c>
      <c r="F143" s="9"/>
      <c r="G143" s="9">
        <f t="shared" si="12"/>
        <v>109975.14</v>
      </c>
      <c r="H143" s="86">
        <v>102210</v>
      </c>
      <c r="I143" s="9">
        <f>IF(H143&gt;0,ROUND(E143/H143*100,1),0)</f>
        <v>107.6</v>
      </c>
      <c r="K143" t="s">
        <v>170</v>
      </c>
      <c r="L143" t="s">
        <v>170</v>
      </c>
      <c r="M143" t="s">
        <v>184</v>
      </c>
    </row>
    <row r="144" spans="1:13" ht="15.75">
      <c r="A144" s="2"/>
      <c r="B144" s="146" t="s">
        <v>185</v>
      </c>
      <c r="C144" s="17" t="s">
        <v>37</v>
      </c>
      <c r="D144" s="91"/>
      <c r="E144" s="14">
        <v>1126.5</v>
      </c>
      <c r="F144" s="9"/>
      <c r="G144" s="9">
        <f t="shared" si="12"/>
        <v>1126.5</v>
      </c>
      <c r="H144" s="86">
        <v>7861</v>
      </c>
      <c r="I144" s="9">
        <f>IF(H144&gt;0,ROUND(E144/H144*100,1),0)</f>
        <v>14.3</v>
      </c>
      <c r="K144" t="s">
        <v>170</v>
      </c>
      <c r="L144" t="s">
        <v>170</v>
      </c>
      <c r="M144" t="s">
        <v>186</v>
      </c>
    </row>
    <row r="145" spans="1:12" ht="18" customHeight="1">
      <c r="A145" s="2"/>
      <c r="B145" s="2" t="s">
        <v>163</v>
      </c>
      <c r="C145" s="17" t="s">
        <v>37</v>
      </c>
      <c r="D145" s="91"/>
      <c r="E145" s="14"/>
      <c r="F145" s="9"/>
      <c r="G145" s="9">
        <f t="shared" si="12"/>
        <v>0</v>
      </c>
      <c r="H145" s="86"/>
      <c r="I145" s="9"/>
      <c r="K145" t="s">
        <v>170</v>
      </c>
      <c r="L145" t="s">
        <v>170</v>
      </c>
    </row>
    <row r="146" spans="1:12" ht="15.75">
      <c r="A146" s="2"/>
      <c r="B146" s="138" t="s">
        <v>187</v>
      </c>
      <c r="C146" s="17" t="s">
        <v>37</v>
      </c>
      <c r="D146" s="91"/>
      <c r="E146" s="14">
        <v>76.7</v>
      </c>
      <c r="F146" s="9"/>
      <c r="G146" s="9">
        <f t="shared" si="12"/>
        <v>76.7</v>
      </c>
      <c r="H146" s="86">
        <v>177</v>
      </c>
      <c r="I146" s="9">
        <f>IF(H146&gt;0,ROUND(E146/H146*100,1),0)</f>
        <v>43.3</v>
      </c>
      <c r="K146" t="s">
        <v>170</v>
      </c>
    </row>
    <row r="147" spans="1:12" ht="18.75" hidden="1" customHeight="1" outlineLevel="1">
      <c r="A147" s="2" t="s">
        <v>188</v>
      </c>
      <c r="B147" s="12" t="s">
        <v>189</v>
      </c>
      <c r="C147" s="17" t="s">
        <v>37</v>
      </c>
      <c r="D147" s="91"/>
      <c r="E147" s="14"/>
      <c r="F147" s="9"/>
      <c r="G147" s="9">
        <f t="shared" si="12"/>
        <v>0</v>
      </c>
      <c r="H147" s="86"/>
      <c r="I147" s="9">
        <f>IF(H147&gt;0,ROUND(E147/H147*100,1),0)</f>
        <v>0</v>
      </c>
      <c r="K147" t="s">
        <v>170</v>
      </c>
    </row>
    <row r="148" spans="1:12" ht="15.75" collapsed="1">
      <c r="A148" s="2" t="s">
        <v>213</v>
      </c>
      <c r="B148" s="12" t="s">
        <v>190</v>
      </c>
      <c r="C148" s="17" t="s">
        <v>37</v>
      </c>
      <c r="D148" s="91"/>
      <c r="E148" s="14">
        <v>92277.5</v>
      </c>
      <c r="F148" s="9"/>
      <c r="G148" s="9"/>
      <c r="H148" s="86">
        <v>61783</v>
      </c>
      <c r="I148" s="9">
        <f>ROUND(E148/H148*100,1)</f>
        <v>149.4</v>
      </c>
      <c r="K148" t="s">
        <v>170</v>
      </c>
      <c r="L148" t="s">
        <v>191</v>
      </c>
    </row>
    <row r="149" spans="1:12" ht="15.75" hidden="1" outlineLevel="1">
      <c r="A149" s="2"/>
      <c r="B149" s="2" t="s">
        <v>12</v>
      </c>
      <c r="C149" s="17" t="s">
        <v>37</v>
      </c>
      <c r="D149" s="91"/>
      <c r="E149" s="14"/>
      <c r="F149" s="9"/>
      <c r="G149" s="9"/>
      <c r="H149" s="86"/>
      <c r="I149" s="9"/>
      <c r="K149" t="s">
        <v>170</v>
      </c>
    </row>
    <row r="150" spans="1:12" ht="15.75" hidden="1" outlineLevel="1">
      <c r="A150" s="2"/>
      <c r="B150" s="12" t="s">
        <v>192</v>
      </c>
      <c r="C150" s="17" t="s">
        <v>37</v>
      </c>
      <c r="D150" s="91"/>
      <c r="E150" s="14"/>
      <c r="F150" s="9"/>
      <c r="G150" s="9"/>
      <c r="H150" s="86"/>
      <c r="I150" s="9"/>
      <c r="K150" t="s">
        <v>170</v>
      </c>
    </row>
    <row r="151" spans="1:12" ht="15.75" hidden="1" outlineLevel="1">
      <c r="A151" s="2"/>
      <c r="B151" s="12" t="s">
        <v>193</v>
      </c>
      <c r="C151" s="17" t="s">
        <v>37</v>
      </c>
      <c r="D151" s="91"/>
      <c r="E151" s="14"/>
      <c r="F151" s="9"/>
      <c r="G151" s="9"/>
      <c r="H151" s="86"/>
      <c r="I151" s="9" t="e">
        <f>ROUND(E151/H151*100,1)</f>
        <v>#DIV/0!</v>
      </c>
      <c r="K151" t="s">
        <v>170</v>
      </c>
    </row>
    <row r="152" spans="1:12" ht="15.75" collapsed="1">
      <c r="A152" s="2" t="s">
        <v>214</v>
      </c>
      <c r="B152" s="12" t="s">
        <v>194</v>
      </c>
      <c r="C152" s="17" t="s">
        <v>37</v>
      </c>
      <c r="D152" s="91"/>
      <c r="E152" s="14">
        <v>263826.07</v>
      </c>
      <c r="F152" s="9"/>
      <c r="G152" s="9"/>
      <c r="H152" s="86">
        <v>163010</v>
      </c>
      <c r="I152" s="9">
        <f>ROUND(E152/H152*100,1)</f>
        <v>161.80000000000001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40"/>
      <c r="E153" s="40"/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40"/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40"/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40"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40"/>
      <c r="F159" s="40"/>
      <c r="G159" s="40"/>
      <c r="H159" s="41"/>
      <c r="I159" s="40" t="e">
        <f>ROUND(E159/H159*100,1)</f>
        <v>#DIV/0!</v>
      </c>
    </row>
    <row r="160" spans="1:12" ht="68.25" customHeight="1" collapsed="1">
      <c r="E160" s="11"/>
      <c r="H160" s="44"/>
    </row>
    <row r="161" spans="1:9" ht="37.5">
      <c r="A161" s="32"/>
      <c r="B161" s="45" t="s">
        <v>221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>
      <c r="A165" s="32"/>
      <c r="B165" s="46" t="s">
        <v>206</v>
      </c>
      <c r="C165" s="46"/>
      <c r="D165" s="46"/>
      <c r="E165" s="46"/>
      <c r="F165" s="48"/>
      <c r="G165" s="46" t="s">
        <v>220</v>
      </c>
      <c r="H165" s="46"/>
      <c r="I165" s="48"/>
    </row>
    <row r="166" spans="1:9" ht="18.75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>
      <c r="A167" s="32"/>
      <c r="B167" s="46" t="s">
        <v>215</v>
      </c>
      <c r="C167" s="46"/>
      <c r="D167" s="46"/>
      <c r="E167" s="46"/>
      <c r="F167" s="48"/>
      <c r="G167" s="46" t="s">
        <v>216</v>
      </c>
      <c r="H167" s="46"/>
      <c r="I167" s="48"/>
    </row>
    <row r="168" spans="1:9" ht="18.75">
      <c r="A168" s="32"/>
      <c r="B168" s="46"/>
      <c r="C168" s="46"/>
      <c r="D168" s="46"/>
      <c r="E168" s="46"/>
      <c r="F168" s="48"/>
      <c r="G168" s="46"/>
      <c r="H168" s="46"/>
      <c r="I168" s="48"/>
    </row>
    <row r="169" spans="1:9" ht="18.75">
      <c r="A169" s="32"/>
      <c r="B169" s="46"/>
      <c r="C169" s="46"/>
      <c r="D169" s="46"/>
      <c r="E169" s="46"/>
      <c r="F169" s="48"/>
      <c r="G169" s="46"/>
      <c r="H169" s="46"/>
      <c r="I169" s="48"/>
    </row>
    <row r="170" spans="1:9" ht="15.75">
      <c r="B170" s="49"/>
      <c r="C170" s="49"/>
      <c r="D170" s="49"/>
      <c r="E170" s="49"/>
      <c r="G170" s="49"/>
    </row>
    <row r="171" spans="1:9" ht="18.75">
      <c r="B171" s="46"/>
      <c r="C171" s="49"/>
      <c r="D171" s="49"/>
      <c r="E171" s="49"/>
      <c r="G171" s="49"/>
    </row>
    <row r="172" spans="1:9" ht="15.75">
      <c r="B172" s="49"/>
      <c r="C172" s="49"/>
      <c r="D172" s="49"/>
      <c r="E172" s="49"/>
      <c r="G172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.19685039370078741" top="0.51181102362204722" bottom="0.15748031496062992" header="0.15748031496062992" footer="0.11811023622047245"/>
  <pageSetup paperSize="9" scale="70" orientation="portrait" blackAndWhite="1" r:id="rId1"/>
  <headerFooter alignWithMargins="0"/>
  <rowBreaks count="1" manualBreakCount="1">
    <brk id="92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2"/>
  <sheetViews>
    <sheetView showZeros="0" view="pageBreakPreview" topLeftCell="B24" zoomScale="90" zoomScaleNormal="100" zoomScaleSheetLayoutView="90" workbookViewId="0">
      <pane xSplit="1" topLeftCell="C1" activePane="topRight" state="frozen"/>
      <selection activeCell="B1" sqref="B1"/>
      <selection pane="topRight" activeCell="U141" sqref="U141"/>
    </sheetView>
  </sheetViews>
  <sheetFormatPr defaultRowHeight="12.75" outlineLevelRow="1" outlineLevelCol="1"/>
  <cols>
    <col min="1" max="1" width="3.85546875" hidden="1" customWidth="1" outlineLevel="1"/>
    <col min="2" max="2" width="59.140625" customWidth="1" collapsed="1"/>
    <col min="3" max="3" width="10" customWidth="1"/>
    <col min="4" max="4" width="11.85546875" customWidth="1"/>
    <col min="5" max="5" width="12.42578125" customWidth="1"/>
    <col min="6" max="6" width="12.140625" customWidth="1"/>
    <col min="7" max="7" width="12" customWidth="1"/>
    <col min="8" max="8" width="12.42578125" customWidth="1"/>
    <col min="9" max="9" width="12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3" width="9.140625" hidden="1" customWidth="1" outlineLevel="1"/>
    <col min="14" max="14" width="1" hidden="1" customWidth="1" outlineLevel="1"/>
    <col min="15" max="15" width="9.140625" collapsed="1"/>
    <col min="257" max="257" width="3.85546875" bestFit="1" customWidth="1"/>
    <col min="258" max="258" width="61.5703125" customWidth="1"/>
    <col min="259" max="259" width="10" customWidth="1"/>
    <col min="260" max="260" width="11.85546875" customWidth="1"/>
    <col min="261" max="261" width="12.42578125" customWidth="1"/>
    <col min="262" max="262" width="9.7109375" customWidth="1"/>
    <col min="263" max="263" width="12" customWidth="1"/>
    <col min="264" max="264" width="13.28515625" customWidth="1"/>
    <col min="265" max="265" width="11.140625" customWidth="1"/>
    <col min="266" max="270" width="0" hidden="1" customWidth="1"/>
    <col min="513" max="513" width="3.85546875" bestFit="1" customWidth="1"/>
    <col min="514" max="514" width="61.5703125" customWidth="1"/>
    <col min="515" max="515" width="10" customWidth="1"/>
    <col min="516" max="516" width="11.85546875" customWidth="1"/>
    <col min="517" max="517" width="12.42578125" customWidth="1"/>
    <col min="518" max="518" width="9.7109375" customWidth="1"/>
    <col min="519" max="519" width="12" customWidth="1"/>
    <col min="520" max="520" width="13.28515625" customWidth="1"/>
    <col min="521" max="521" width="11.140625" customWidth="1"/>
    <col min="522" max="526" width="0" hidden="1" customWidth="1"/>
    <col min="769" max="769" width="3.85546875" bestFit="1" customWidth="1"/>
    <col min="770" max="770" width="61.5703125" customWidth="1"/>
    <col min="771" max="771" width="10" customWidth="1"/>
    <col min="772" max="772" width="11.85546875" customWidth="1"/>
    <col min="773" max="773" width="12.42578125" customWidth="1"/>
    <col min="774" max="774" width="9.7109375" customWidth="1"/>
    <col min="775" max="775" width="12" customWidth="1"/>
    <col min="776" max="776" width="13.28515625" customWidth="1"/>
    <col min="777" max="777" width="11.140625" customWidth="1"/>
    <col min="778" max="782" width="0" hidden="1" customWidth="1"/>
    <col min="1025" max="1025" width="3.85546875" bestFit="1" customWidth="1"/>
    <col min="1026" max="1026" width="61.5703125" customWidth="1"/>
    <col min="1027" max="1027" width="10" customWidth="1"/>
    <col min="1028" max="1028" width="11.85546875" customWidth="1"/>
    <col min="1029" max="1029" width="12.42578125" customWidth="1"/>
    <col min="1030" max="1030" width="9.7109375" customWidth="1"/>
    <col min="1031" max="1031" width="12" customWidth="1"/>
    <col min="1032" max="1032" width="13.28515625" customWidth="1"/>
    <col min="1033" max="1033" width="11.140625" customWidth="1"/>
    <col min="1034" max="1038" width="0" hidden="1" customWidth="1"/>
    <col min="1281" max="1281" width="3.85546875" bestFit="1" customWidth="1"/>
    <col min="1282" max="1282" width="61.5703125" customWidth="1"/>
    <col min="1283" max="1283" width="10" customWidth="1"/>
    <col min="1284" max="1284" width="11.85546875" customWidth="1"/>
    <col min="1285" max="1285" width="12.42578125" customWidth="1"/>
    <col min="1286" max="1286" width="9.7109375" customWidth="1"/>
    <col min="1287" max="1287" width="12" customWidth="1"/>
    <col min="1288" max="1288" width="13.28515625" customWidth="1"/>
    <col min="1289" max="1289" width="11.140625" customWidth="1"/>
    <col min="1290" max="1294" width="0" hidden="1" customWidth="1"/>
    <col min="1537" max="1537" width="3.85546875" bestFit="1" customWidth="1"/>
    <col min="1538" max="1538" width="61.5703125" customWidth="1"/>
    <col min="1539" max="1539" width="10" customWidth="1"/>
    <col min="1540" max="1540" width="11.85546875" customWidth="1"/>
    <col min="1541" max="1541" width="12.42578125" customWidth="1"/>
    <col min="1542" max="1542" width="9.7109375" customWidth="1"/>
    <col min="1543" max="1543" width="12" customWidth="1"/>
    <col min="1544" max="1544" width="13.28515625" customWidth="1"/>
    <col min="1545" max="1545" width="11.140625" customWidth="1"/>
    <col min="1546" max="1550" width="0" hidden="1" customWidth="1"/>
    <col min="1793" max="1793" width="3.85546875" bestFit="1" customWidth="1"/>
    <col min="1794" max="1794" width="61.5703125" customWidth="1"/>
    <col min="1795" max="1795" width="10" customWidth="1"/>
    <col min="1796" max="1796" width="11.85546875" customWidth="1"/>
    <col min="1797" max="1797" width="12.42578125" customWidth="1"/>
    <col min="1798" max="1798" width="9.7109375" customWidth="1"/>
    <col min="1799" max="1799" width="12" customWidth="1"/>
    <col min="1800" max="1800" width="13.28515625" customWidth="1"/>
    <col min="1801" max="1801" width="11.140625" customWidth="1"/>
    <col min="1802" max="1806" width="0" hidden="1" customWidth="1"/>
    <col min="2049" max="2049" width="3.85546875" bestFit="1" customWidth="1"/>
    <col min="2050" max="2050" width="61.5703125" customWidth="1"/>
    <col min="2051" max="2051" width="10" customWidth="1"/>
    <col min="2052" max="2052" width="11.85546875" customWidth="1"/>
    <col min="2053" max="2053" width="12.42578125" customWidth="1"/>
    <col min="2054" max="2054" width="9.7109375" customWidth="1"/>
    <col min="2055" max="2055" width="12" customWidth="1"/>
    <col min="2056" max="2056" width="13.28515625" customWidth="1"/>
    <col min="2057" max="2057" width="11.140625" customWidth="1"/>
    <col min="2058" max="2062" width="0" hidden="1" customWidth="1"/>
    <col min="2305" max="2305" width="3.85546875" bestFit="1" customWidth="1"/>
    <col min="2306" max="2306" width="61.5703125" customWidth="1"/>
    <col min="2307" max="2307" width="10" customWidth="1"/>
    <col min="2308" max="2308" width="11.85546875" customWidth="1"/>
    <col min="2309" max="2309" width="12.42578125" customWidth="1"/>
    <col min="2310" max="2310" width="9.7109375" customWidth="1"/>
    <col min="2311" max="2311" width="12" customWidth="1"/>
    <col min="2312" max="2312" width="13.28515625" customWidth="1"/>
    <col min="2313" max="2313" width="11.140625" customWidth="1"/>
    <col min="2314" max="2318" width="0" hidden="1" customWidth="1"/>
    <col min="2561" max="2561" width="3.85546875" bestFit="1" customWidth="1"/>
    <col min="2562" max="2562" width="61.5703125" customWidth="1"/>
    <col min="2563" max="2563" width="10" customWidth="1"/>
    <col min="2564" max="2564" width="11.85546875" customWidth="1"/>
    <col min="2565" max="2565" width="12.42578125" customWidth="1"/>
    <col min="2566" max="2566" width="9.7109375" customWidth="1"/>
    <col min="2567" max="2567" width="12" customWidth="1"/>
    <col min="2568" max="2568" width="13.28515625" customWidth="1"/>
    <col min="2569" max="2569" width="11.140625" customWidth="1"/>
    <col min="2570" max="2574" width="0" hidden="1" customWidth="1"/>
    <col min="2817" max="2817" width="3.85546875" bestFit="1" customWidth="1"/>
    <col min="2818" max="2818" width="61.5703125" customWidth="1"/>
    <col min="2819" max="2819" width="10" customWidth="1"/>
    <col min="2820" max="2820" width="11.85546875" customWidth="1"/>
    <col min="2821" max="2821" width="12.42578125" customWidth="1"/>
    <col min="2822" max="2822" width="9.7109375" customWidth="1"/>
    <col min="2823" max="2823" width="12" customWidth="1"/>
    <col min="2824" max="2824" width="13.28515625" customWidth="1"/>
    <col min="2825" max="2825" width="11.140625" customWidth="1"/>
    <col min="2826" max="2830" width="0" hidden="1" customWidth="1"/>
    <col min="3073" max="3073" width="3.85546875" bestFit="1" customWidth="1"/>
    <col min="3074" max="3074" width="61.5703125" customWidth="1"/>
    <col min="3075" max="3075" width="10" customWidth="1"/>
    <col min="3076" max="3076" width="11.85546875" customWidth="1"/>
    <col min="3077" max="3077" width="12.42578125" customWidth="1"/>
    <col min="3078" max="3078" width="9.7109375" customWidth="1"/>
    <col min="3079" max="3079" width="12" customWidth="1"/>
    <col min="3080" max="3080" width="13.28515625" customWidth="1"/>
    <col min="3081" max="3081" width="11.140625" customWidth="1"/>
    <col min="3082" max="3086" width="0" hidden="1" customWidth="1"/>
    <col min="3329" max="3329" width="3.85546875" bestFit="1" customWidth="1"/>
    <col min="3330" max="3330" width="61.5703125" customWidth="1"/>
    <col min="3331" max="3331" width="10" customWidth="1"/>
    <col min="3332" max="3332" width="11.85546875" customWidth="1"/>
    <col min="3333" max="3333" width="12.42578125" customWidth="1"/>
    <col min="3334" max="3334" width="9.7109375" customWidth="1"/>
    <col min="3335" max="3335" width="12" customWidth="1"/>
    <col min="3336" max="3336" width="13.28515625" customWidth="1"/>
    <col min="3337" max="3337" width="11.140625" customWidth="1"/>
    <col min="3338" max="3342" width="0" hidden="1" customWidth="1"/>
    <col min="3585" max="3585" width="3.85546875" bestFit="1" customWidth="1"/>
    <col min="3586" max="3586" width="61.5703125" customWidth="1"/>
    <col min="3587" max="3587" width="10" customWidth="1"/>
    <col min="3588" max="3588" width="11.85546875" customWidth="1"/>
    <col min="3589" max="3589" width="12.42578125" customWidth="1"/>
    <col min="3590" max="3590" width="9.7109375" customWidth="1"/>
    <col min="3591" max="3591" width="12" customWidth="1"/>
    <col min="3592" max="3592" width="13.28515625" customWidth="1"/>
    <col min="3593" max="3593" width="11.140625" customWidth="1"/>
    <col min="3594" max="3598" width="0" hidden="1" customWidth="1"/>
    <col min="3841" max="3841" width="3.85546875" bestFit="1" customWidth="1"/>
    <col min="3842" max="3842" width="61.5703125" customWidth="1"/>
    <col min="3843" max="3843" width="10" customWidth="1"/>
    <col min="3844" max="3844" width="11.85546875" customWidth="1"/>
    <col min="3845" max="3845" width="12.42578125" customWidth="1"/>
    <col min="3846" max="3846" width="9.7109375" customWidth="1"/>
    <col min="3847" max="3847" width="12" customWidth="1"/>
    <col min="3848" max="3848" width="13.28515625" customWidth="1"/>
    <col min="3849" max="3849" width="11.140625" customWidth="1"/>
    <col min="3850" max="3854" width="0" hidden="1" customWidth="1"/>
    <col min="4097" max="4097" width="3.85546875" bestFit="1" customWidth="1"/>
    <col min="4098" max="4098" width="61.5703125" customWidth="1"/>
    <col min="4099" max="4099" width="10" customWidth="1"/>
    <col min="4100" max="4100" width="11.85546875" customWidth="1"/>
    <col min="4101" max="4101" width="12.42578125" customWidth="1"/>
    <col min="4102" max="4102" width="9.7109375" customWidth="1"/>
    <col min="4103" max="4103" width="12" customWidth="1"/>
    <col min="4104" max="4104" width="13.28515625" customWidth="1"/>
    <col min="4105" max="4105" width="11.140625" customWidth="1"/>
    <col min="4106" max="4110" width="0" hidden="1" customWidth="1"/>
    <col min="4353" max="4353" width="3.85546875" bestFit="1" customWidth="1"/>
    <col min="4354" max="4354" width="61.5703125" customWidth="1"/>
    <col min="4355" max="4355" width="10" customWidth="1"/>
    <col min="4356" max="4356" width="11.85546875" customWidth="1"/>
    <col min="4357" max="4357" width="12.42578125" customWidth="1"/>
    <col min="4358" max="4358" width="9.7109375" customWidth="1"/>
    <col min="4359" max="4359" width="12" customWidth="1"/>
    <col min="4360" max="4360" width="13.28515625" customWidth="1"/>
    <col min="4361" max="4361" width="11.140625" customWidth="1"/>
    <col min="4362" max="4366" width="0" hidden="1" customWidth="1"/>
    <col min="4609" max="4609" width="3.85546875" bestFit="1" customWidth="1"/>
    <col min="4610" max="4610" width="61.5703125" customWidth="1"/>
    <col min="4611" max="4611" width="10" customWidth="1"/>
    <col min="4612" max="4612" width="11.85546875" customWidth="1"/>
    <col min="4613" max="4613" width="12.42578125" customWidth="1"/>
    <col min="4614" max="4614" width="9.7109375" customWidth="1"/>
    <col min="4615" max="4615" width="12" customWidth="1"/>
    <col min="4616" max="4616" width="13.28515625" customWidth="1"/>
    <col min="4617" max="4617" width="11.140625" customWidth="1"/>
    <col min="4618" max="4622" width="0" hidden="1" customWidth="1"/>
    <col min="4865" max="4865" width="3.85546875" bestFit="1" customWidth="1"/>
    <col min="4866" max="4866" width="61.5703125" customWidth="1"/>
    <col min="4867" max="4867" width="10" customWidth="1"/>
    <col min="4868" max="4868" width="11.85546875" customWidth="1"/>
    <col min="4869" max="4869" width="12.42578125" customWidth="1"/>
    <col min="4870" max="4870" width="9.7109375" customWidth="1"/>
    <col min="4871" max="4871" width="12" customWidth="1"/>
    <col min="4872" max="4872" width="13.28515625" customWidth="1"/>
    <col min="4873" max="4873" width="11.140625" customWidth="1"/>
    <col min="4874" max="4878" width="0" hidden="1" customWidth="1"/>
    <col min="5121" max="5121" width="3.85546875" bestFit="1" customWidth="1"/>
    <col min="5122" max="5122" width="61.5703125" customWidth="1"/>
    <col min="5123" max="5123" width="10" customWidth="1"/>
    <col min="5124" max="5124" width="11.85546875" customWidth="1"/>
    <col min="5125" max="5125" width="12.42578125" customWidth="1"/>
    <col min="5126" max="5126" width="9.7109375" customWidth="1"/>
    <col min="5127" max="5127" width="12" customWidth="1"/>
    <col min="5128" max="5128" width="13.28515625" customWidth="1"/>
    <col min="5129" max="5129" width="11.140625" customWidth="1"/>
    <col min="5130" max="5134" width="0" hidden="1" customWidth="1"/>
    <col min="5377" max="5377" width="3.85546875" bestFit="1" customWidth="1"/>
    <col min="5378" max="5378" width="61.5703125" customWidth="1"/>
    <col min="5379" max="5379" width="10" customWidth="1"/>
    <col min="5380" max="5380" width="11.85546875" customWidth="1"/>
    <col min="5381" max="5381" width="12.42578125" customWidth="1"/>
    <col min="5382" max="5382" width="9.7109375" customWidth="1"/>
    <col min="5383" max="5383" width="12" customWidth="1"/>
    <col min="5384" max="5384" width="13.28515625" customWidth="1"/>
    <col min="5385" max="5385" width="11.140625" customWidth="1"/>
    <col min="5386" max="5390" width="0" hidden="1" customWidth="1"/>
    <col min="5633" max="5633" width="3.85546875" bestFit="1" customWidth="1"/>
    <col min="5634" max="5634" width="61.5703125" customWidth="1"/>
    <col min="5635" max="5635" width="10" customWidth="1"/>
    <col min="5636" max="5636" width="11.85546875" customWidth="1"/>
    <col min="5637" max="5637" width="12.42578125" customWidth="1"/>
    <col min="5638" max="5638" width="9.7109375" customWidth="1"/>
    <col min="5639" max="5639" width="12" customWidth="1"/>
    <col min="5640" max="5640" width="13.28515625" customWidth="1"/>
    <col min="5641" max="5641" width="11.140625" customWidth="1"/>
    <col min="5642" max="5646" width="0" hidden="1" customWidth="1"/>
    <col min="5889" max="5889" width="3.85546875" bestFit="1" customWidth="1"/>
    <col min="5890" max="5890" width="61.5703125" customWidth="1"/>
    <col min="5891" max="5891" width="10" customWidth="1"/>
    <col min="5892" max="5892" width="11.85546875" customWidth="1"/>
    <col min="5893" max="5893" width="12.42578125" customWidth="1"/>
    <col min="5894" max="5894" width="9.7109375" customWidth="1"/>
    <col min="5895" max="5895" width="12" customWidth="1"/>
    <col min="5896" max="5896" width="13.28515625" customWidth="1"/>
    <col min="5897" max="5897" width="11.140625" customWidth="1"/>
    <col min="5898" max="5902" width="0" hidden="1" customWidth="1"/>
    <col min="6145" max="6145" width="3.85546875" bestFit="1" customWidth="1"/>
    <col min="6146" max="6146" width="61.5703125" customWidth="1"/>
    <col min="6147" max="6147" width="10" customWidth="1"/>
    <col min="6148" max="6148" width="11.85546875" customWidth="1"/>
    <col min="6149" max="6149" width="12.42578125" customWidth="1"/>
    <col min="6150" max="6150" width="9.7109375" customWidth="1"/>
    <col min="6151" max="6151" width="12" customWidth="1"/>
    <col min="6152" max="6152" width="13.28515625" customWidth="1"/>
    <col min="6153" max="6153" width="11.140625" customWidth="1"/>
    <col min="6154" max="6158" width="0" hidden="1" customWidth="1"/>
    <col min="6401" max="6401" width="3.85546875" bestFit="1" customWidth="1"/>
    <col min="6402" max="6402" width="61.5703125" customWidth="1"/>
    <col min="6403" max="6403" width="10" customWidth="1"/>
    <col min="6404" max="6404" width="11.85546875" customWidth="1"/>
    <col min="6405" max="6405" width="12.42578125" customWidth="1"/>
    <col min="6406" max="6406" width="9.7109375" customWidth="1"/>
    <col min="6407" max="6407" width="12" customWidth="1"/>
    <col min="6408" max="6408" width="13.28515625" customWidth="1"/>
    <col min="6409" max="6409" width="11.140625" customWidth="1"/>
    <col min="6410" max="6414" width="0" hidden="1" customWidth="1"/>
    <col min="6657" max="6657" width="3.85546875" bestFit="1" customWidth="1"/>
    <col min="6658" max="6658" width="61.5703125" customWidth="1"/>
    <col min="6659" max="6659" width="10" customWidth="1"/>
    <col min="6660" max="6660" width="11.85546875" customWidth="1"/>
    <col min="6661" max="6661" width="12.42578125" customWidth="1"/>
    <col min="6662" max="6662" width="9.7109375" customWidth="1"/>
    <col min="6663" max="6663" width="12" customWidth="1"/>
    <col min="6664" max="6664" width="13.28515625" customWidth="1"/>
    <col min="6665" max="6665" width="11.140625" customWidth="1"/>
    <col min="6666" max="6670" width="0" hidden="1" customWidth="1"/>
    <col min="6913" max="6913" width="3.85546875" bestFit="1" customWidth="1"/>
    <col min="6914" max="6914" width="61.5703125" customWidth="1"/>
    <col min="6915" max="6915" width="10" customWidth="1"/>
    <col min="6916" max="6916" width="11.85546875" customWidth="1"/>
    <col min="6917" max="6917" width="12.42578125" customWidth="1"/>
    <col min="6918" max="6918" width="9.7109375" customWidth="1"/>
    <col min="6919" max="6919" width="12" customWidth="1"/>
    <col min="6920" max="6920" width="13.28515625" customWidth="1"/>
    <col min="6921" max="6921" width="11.140625" customWidth="1"/>
    <col min="6922" max="6926" width="0" hidden="1" customWidth="1"/>
    <col min="7169" max="7169" width="3.85546875" bestFit="1" customWidth="1"/>
    <col min="7170" max="7170" width="61.5703125" customWidth="1"/>
    <col min="7171" max="7171" width="10" customWidth="1"/>
    <col min="7172" max="7172" width="11.85546875" customWidth="1"/>
    <col min="7173" max="7173" width="12.42578125" customWidth="1"/>
    <col min="7174" max="7174" width="9.7109375" customWidth="1"/>
    <col min="7175" max="7175" width="12" customWidth="1"/>
    <col min="7176" max="7176" width="13.28515625" customWidth="1"/>
    <col min="7177" max="7177" width="11.140625" customWidth="1"/>
    <col min="7178" max="7182" width="0" hidden="1" customWidth="1"/>
    <col min="7425" max="7425" width="3.85546875" bestFit="1" customWidth="1"/>
    <col min="7426" max="7426" width="61.5703125" customWidth="1"/>
    <col min="7427" max="7427" width="10" customWidth="1"/>
    <col min="7428" max="7428" width="11.85546875" customWidth="1"/>
    <col min="7429" max="7429" width="12.42578125" customWidth="1"/>
    <col min="7430" max="7430" width="9.7109375" customWidth="1"/>
    <col min="7431" max="7431" width="12" customWidth="1"/>
    <col min="7432" max="7432" width="13.28515625" customWidth="1"/>
    <col min="7433" max="7433" width="11.140625" customWidth="1"/>
    <col min="7434" max="7438" width="0" hidden="1" customWidth="1"/>
    <col min="7681" max="7681" width="3.85546875" bestFit="1" customWidth="1"/>
    <col min="7682" max="7682" width="61.5703125" customWidth="1"/>
    <col min="7683" max="7683" width="10" customWidth="1"/>
    <col min="7684" max="7684" width="11.85546875" customWidth="1"/>
    <col min="7685" max="7685" width="12.42578125" customWidth="1"/>
    <col min="7686" max="7686" width="9.7109375" customWidth="1"/>
    <col min="7687" max="7687" width="12" customWidth="1"/>
    <col min="7688" max="7688" width="13.28515625" customWidth="1"/>
    <col min="7689" max="7689" width="11.140625" customWidth="1"/>
    <col min="7690" max="7694" width="0" hidden="1" customWidth="1"/>
    <col min="7937" max="7937" width="3.85546875" bestFit="1" customWidth="1"/>
    <col min="7938" max="7938" width="61.5703125" customWidth="1"/>
    <col min="7939" max="7939" width="10" customWidth="1"/>
    <col min="7940" max="7940" width="11.85546875" customWidth="1"/>
    <col min="7941" max="7941" width="12.42578125" customWidth="1"/>
    <col min="7942" max="7942" width="9.7109375" customWidth="1"/>
    <col min="7943" max="7943" width="12" customWidth="1"/>
    <col min="7944" max="7944" width="13.28515625" customWidth="1"/>
    <col min="7945" max="7945" width="11.140625" customWidth="1"/>
    <col min="7946" max="7950" width="0" hidden="1" customWidth="1"/>
    <col min="8193" max="8193" width="3.85546875" bestFit="1" customWidth="1"/>
    <col min="8194" max="8194" width="61.5703125" customWidth="1"/>
    <col min="8195" max="8195" width="10" customWidth="1"/>
    <col min="8196" max="8196" width="11.85546875" customWidth="1"/>
    <col min="8197" max="8197" width="12.42578125" customWidth="1"/>
    <col min="8198" max="8198" width="9.7109375" customWidth="1"/>
    <col min="8199" max="8199" width="12" customWidth="1"/>
    <col min="8200" max="8200" width="13.28515625" customWidth="1"/>
    <col min="8201" max="8201" width="11.140625" customWidth="1"/>
    <col min="8202" max="8206" width="0" hidden="1" customWidth="1"/>
    <col min="8449" max="8449" width="3.85546875" bestFit="1" customWidth="1"/>
    <col min="8450" max="8450" width="61.5703125" customWidth="1"/>
    <col min="8451" max="8451" width="10" customWidth="1"/>
    <col min="8452" max="8452" width="11.85546875" customWidth="1"/>
    <col min="8453" max="8453" width="12.42578125" customWidth="1"/>
    <col min="8454" max="8454" width="9.7109375" customWidth="1"/>
    <col min="8455" max="8455" width="12" customWidth="1"/>
    <col min="8456" max="8456" width="13.28515625" customWidth="1"/>
    <col min="8457" max="8457" width="11.140625" customWidth="1"/>
    <col min="8458" max="8462" width="0" hidden="1" customWidth="1"/>
    <col min="8705" max="8705" width="3.85546875" bestFit="1" customWidth="1"/>
    <col min="8706" max="8706" width="61.5703125" customWidth="1"/>
    <col min="8707" max="8707" width="10" customWidth="1"/>
    <col min="8708" max="8708" width="11.85546875" customWidth="1"/>
    <col min="8709" max="8709" width="12.42578125" customWidth="1"/>
    <col min="8710" max="8710" width="9.7109375" customWidth="1"/>
    <col min="8711" max="8711" width="12" customWidth="1"/>
    <col min="8712" max="8712" width="13.28515625" customWidth="1"/>
    <col min="8713" max="8713" width="11.140625" customWidth="1"/>
    <col min="8714" max="8718" width="0" hidden="1" customWidth="1"/>
    <col min="8961" max="8961" width="3.85546875" bestFit="1" customWidth="1"/>
    <col min="8962" max="8962" width="61.5703125" customWidth="1"/>
    <col min="8963" max="8963" width="10" customWidth="1"/>
    <col min="8964" max="8964" width="11.85546875" customWidth="1"/>
    <col min="8965" max="8965" width="12.42578125" customWidth="1"/>
    <col min="8966" max="8966" width="9.7109375" customWidth="1"/>
    <col min="8967" max="8967" width="12" customWidth="1"/>
    <col min="8968" max="8968" width="13.28515625" customWidth="1"/>
    <col min="8969" max="8969" width="11.140625" customWidth="1"/>
    <col min="8970" max="8974" width="0" hidden="1" customWidth="1"/>
    <col min="9217" max="9217" width="3.85546875" bestFit="1" customWidth="1"/>
    <col min="9218" max="9218" width="61.5703125" customWidth="1"/>
    <col min="9219" max="9219" width="10" customWidth="1"/>
    <col min="9220" max="9220" width="11.85546875" customWidth="1"/>
    <col min="9221" max="9221" width="12.42578125" customWidth="1"/>
    <col min="9222" max="9222" width="9.7109375" customWidth="1"/>
    <col min="9223" max="9223" width="12" customWidth="1"/>
    <col min="9224" max="9224" width="13.28515625" customWidth="1"/>
    <col min="9225" max="9225" width="11.140625" customWidth="1"/>
    <col min="9226" max="9230" width="0" hidden="1" customWidth="1"/>
    <col min="9473" max="9473" width="3.85546875" bestFit="1" customWidth="1"/>
    <col min="9474" max="9474" width="61.5703125" customWidth="1"/>
    <col min="9475" max="9475" width="10" customWidth="1"/>
    <col min="9476" max="9476" width="11.85546875" customWidth="1"/>
    <col min="9477" max="9477" width="12.42578125" customWidth="1"/>
    <col min="9478" max="9478" width="9.7109375" customWidth="1"/>
    <col min="9479" max="9479" width="12" customWidth="1"/>
    <col min="9480" max="9480" width="13.28515625" customWidth="1"/>
    <col min="9481" max="9481" width="11.140625" customWidth="1"/>
    <col min="9482" max="9486" width="0" hidden="1" customWidth="1"/>
    <col min="9729" max="9729" width="3.85546875" bestFit="1" customWidth="1"/>
    <col min="9730" max="9730" width="61.5703125" customWidth="1"/>
    <col min="9731" max="9731" width="10" customWidth="1"/>
    <col min="9732" max="9732" width="11.85546875" customWidth="1"/>
    <col min="9733" max="9733" width="12.42578125" customWidth="1"/>
    <col min="9734" max="9734" width="9.7109375" customWidth="1"/>
    <col min="9735" max="9735" width="12" customWidth="1"/>
    <col min="9736" max="9736" width="13.28515625" customWidth="1"/>
    <col min="9737" max="9737" width="11.140625" customWidth="1"/>
    <col min="9738" max="9742" width="0" hidden="1" customWidth="1"/>
    <col min="9985" max="9985" width="3.85546875" bestFit="1" customWidth="1"/>
    <col min="9986" max="9986" width="61.5703125" customWidth="1"/>
    <col min="9987" max="9987" width="10" customWidth="1"/>
    <col min="9988" max="9988" width="11.85546875" customWidth="1"/>
    <col min="9989" max="9989" width="12.42578125" customWidth="1"/>
    <col min="9990" max="9990" width="9.7109375" customWidth="1"/>
    <col min="9991" max="9991" width="12" customWidth="1"/>
    <col min="9992" max="9992" width="13.28515625" customWidth="1"/>
    <col min="9993" max="9993" width="11.140625" customWidth="1"/>
    <col min="9994" max="9998" width="0" hidden="1" customWidth="1"/>
    <col min="10241" max="10241" width="3.85546875" bestFit="1" customWidth="1"/>
    <col min="10242" max="10242" width="61.5703125" customWidth="1"/>
    <col min="10243" max="10243" width="10" customWidth="1"/>
    <col min="10244" max="10244" width="11.85546875" customWidth="1"/>
    <col min="10245" max="10245" width="12.42578125" customWidth="1"/>
    <col min="10246" max="10246" width="9.7109375" customWidth="1"/>
    <col min="10247" max="10247" width="12" customWidth="1"/>
    <col min="10248" max="10248" width="13.28515625" customWidth="1"/>
    <col min="10249" max="10249" width="11.140625" customWidth="1"/>
    <col min="10250" max="10254" width="0" hidden="1" customWidth="1"/>
    <col min="10497" max="10497" width="3.85546875" bestFit="1" customWidth="1"/>
    <col min="10498" max="10498" width="61.5703125" customWidth="1"/>
    <col min="10499" max="10499" width="10" customWidth="1"/>
    <col min="10500" max="10500" width="11.85546875" customWidth="1"/>
    <col min="10501" max="10501" width="12.42578125" customWidth="1"/>
    <col min="10502" max="10502" width="9.7109375" customWidth="1"/>
    <col min="10503" max="10503" width="12" customWidth="1"/>
    <col min="10504" max="10504" width="13.28515625" customWidth="1"/>
    <col min="10505" max="10505" width="11.140625" customWidth="1"/>
    <col min="10506" max="10510" width="0" hidden="1" customWidth="1"/>
    <col min="10753" max="10753" width="3.85546875" bestFit="1" customWidth="1"/>
    <col min="10754" max="10754" width="61.5703125" customWidth="1"/>
    <col min="10755" max="10755" width="10" customWidth="1"/>
    <col min="10756" max="10756" width="11.85546875" customWidth="1"/>
    <col min="10757" max="10757" width="12.42578125" customWidth="1"/>
    <col min="10758" max="10758" width="9.7109375" customWidth="1"/>
    <col min="10759" max="10759" width="12" customWidth="1"/>
    <col min="10760" max="10760" width="13.28515625" customWidth="1"/>
    <col min="10761" max="10761" width="11.140625" customWidth="1"/>
    <col min="10762" max="10766" width="0" hidden="1" customWidth="1"/>
    <col min="11009" max="11009" width="3.85546875" bestFit="1" customWidth="1"/>
    <col min="11010" max="11010" width="61.5703125" customWidth="1"/>
    <col min="11011" max="11011" width="10" customWidth="1"/>
    <col min="11012" max="11012" width="11.85546875" customWidth="1"/>
    <col min="11013" max="11013" width="12.42578125" customWidth="1"/>
    <col min="11014" max="11014" width="9.7109375" customWidth="1"/>
    <col min="11015" max="11015" width="12" customWidth="1"/>
    <col min="11016" max="11016" width="13.28515625" customWidth="1"/>
    <col min="11017" max="11017" width="11.140625" customWidth="1"/>
    <col min="11018" max="11022" width="0" hidden="1" customWidth="1"/>
    <col min="11265" max="11265" width="3.85546875" bestFit="1" customWidth="1"/>
    <col min="11266" max="11266" width="61.5703125" customWidth="1"/>
    <col min="11267" max="11267" width="10" customWidth="1"/>
    <col min="11268" max="11268" width="11.85546875" customWidth="1"/>
    <col min="11269" max="11269" width="12.42578125" customWidth="1"/>
    <col min="11270" max="11270" width="9.7109375" customWidth="1"/>
    <col min="11271" max="11271" width="12" customWidth="1"/>
    <col min="11272" max="11272" width="13.28515625" customWidth="1"/>
    <col min="11273" max="11273" width="11.140625" customWidth="1"/>
    <col min="11274" max="11278" width="0" hidden="1" customWidth="1"/>
    <col min="11521" max="11521" width="3.85546875" bestFit="1" customWidth="1"/>
    <col min="11522" max="11522" width="61.5703125" customWidth="1"/>
    <col min="11523" max="11523" width="10" customWidth="1"/>
    <col min="11524" max="11524" width="11.85546875" customWidth="1"/>
    <col min="11525" max="11525" width="12.42578125" customWidth="1"/>
    <col min="11526" max="11526" width="9.7109375" customWidth="1"/>
    <col min="11527" max="11527" width="12" customWidth="1"/>
    <col min="11528" max="11528" width="13.28515625" customWidth="1"/>
    <col min="11529" max="11529" width="11.140625" customWidth="1"/>
    <col min="11530" max="11534" width="0" hidden="1" customWidth="1"/>
    <col min="11777" max="11777" width="3.85546875" bestFit="1" customWidth="1"/>
    <col min="11778" max="11778" width="61.5703125" customWidth="1"/>
    <col min="11779" max="11779" width="10" customWidth="1"/>
    <col min="11780" max="11780" width="11.85546875" customWidth="1"/>
    <col min="11781" max="11781" width="12.42578125" customWidth="1"/>
    <col min="11782" max="11782" width="9.7109375" customWidth="1"/>
    <col min="11783" max="11783" width="12" customWidth="1"/>
    <col min="11784" max="11784" width="13.28515625" customWidth="1"/>
    <col min="11785" max="11785" width="11.140625" customWidth="1"/>
    <col min="11786" max="11790" width="0" hidden="1" customWidth="1"/>
    <col min="12033" max="12033" width="3.85546875" bestFit="1" customWidth="1"/>
    <col min="12034" max="12034" width="61.5703125" customWidth="1"/>
    <col min="12035" max="12035" width="10" customWidth="1"/>
    <col min="12036" max="12036" width="11.85546875" customWidth="1"/>
    <col min="12037" max="12037" width="12.42578125" customWidth="1"/>
    <col min="12038" max="12038" width="9.7109375" customWidth="1"/>
    <col min="12039" max="12039" width="12" customWidth="1"/>
    <col min="12040" max="12040" width="13.28515625" customWidth="1"/>
    <col min="12041" max="12041" width="11.140625" customWidth="1"/>
    <col min="12042" max="12046" width="0" hidden="1" customWidth="1"/>
    <col min="12289" max="12289" width="3.85546875" bestFit="1" customWidth="1"/>
    <col min="12290" max="12290" width="61.5703125" customWidth="1"/>
    <col min="12291" max="12291" width="10" customWidth="1"/>
    <col min="12292" max="12292" width="11.85546875" customWidth="1"/>
    <col min="12293" max="12293" width="12.42578125" customWidth="1"/>
    <col min="12294" max="12294" width="9.7109375" customWidth="1"/>
    <col min="12295" max="12295" width="12" customWidth="1"/>
    <col min="12296" max="12296" width="13.28515625" customWidth="1"/>
    <col min="12297" max="12297" width="11.140625" customWidth="1"/>
    <col min="12298" max="12302" width="0" hidden="1" customWidth="1"/>
    <col min="12545" max="12545" width="3.85546875" bestFit="1" customWidth="1"/>
    <col min="12546" max="12546" width="61.5703125" customWidth="1"/>
    <col min="12547" max="12547" width="10" customWidth="1"/>
    <col min="12548" max="12548" width="11.85546875" customWidth="1"/>
    <col min="12549" max="12549" width="12.42578125" customWidth="1"/>
    <col min="12550" max="12550" width="9.7109375" customWidth="1"/>
    <col min="12551" max="12551" width="12" customWidth="1"/>
    <col min="12552" max="12552" width="13.28515625" customWidth="1"/>
    <col min="12553" max="12553" width="11.140625" customWidth="1"/>
    <col min="12554" max="12558" width="0" hidden="1" customWidth="1"/>
    <col min="12801" max="12801" width="3.85546875" bestFit="1" customWidth="1"/>
    <col min="12802" max="12802" width="61.5703125" customWidth="1"/>
    <col min="12803" max="12803" width="10" customWidth="1"/>
    <col min="12804" max="12804" width="11.85546875" customWidth="1"/>
    <col min="12805" max="12805" width="12.42578125" customWidth="1"/>
    <col min="12806" max="12806" width="9.7109375" customWidth="1"/>
    <col min="12807" max="12807" width="12" customWidth="1"/>
    <col min="12808" max="12808" width="13.28515625" customWidth="1"/>
    <col min="12809" max="12809" width="11.140625" customWidth="1"/>
    <col min="12810" max="12814" width="0" hidden="1" customWidth="1"/>
    <col min="13057" max="13057" width="3.85546875" bestFit="1" customWidth="1"/>
    <col min="13058" max="13058" width="61.5703125" customWidth="1"/>
    <col min="13059" max="13059" width="10" customWidth="1"/>
    <col min="13060" max="13060" width="11.85546875" customWidth="1"/>
    <col min="13061" max="13061" width="12.42578125" customWidth="1"/>
    <col min="13062" max="13062" width="9.7109375" customWidth="1"/>
    <col min="13063" max="13063" width="12" customWidth="1"/>
    <col min="13064" max="13064" width="13.28515625" customWidth="1"/>
    <col min="13065" max="13065" width="11.140625" customWidth="1"/>
    <col min="13066" max="13070" width="0" hidden="1" customWidth="1"/>
    <col min="13313" max="13313" width="3.85546875" bestFit="1" customWidth="1"/>
    <col min="13314" max="13314" width="61.5703125" customWidth="1"/>
    <col min="13315" max="13315" width="10" customWidth="1"/>
    <col min="13316" max="13316" width="11.85546875" customWidth="1"/>
    <col min="13317" max="13317" width="12.42578125" customWidth="1"/>
    <col min="13318" max="13318" width="9.7109375" customWidth="1"/>
    <col min="13319" max="13319" width="12" customWidth="1"/>
    <col min="13320" max="13320" width="13.28515625" customWidth="1"/>
    <col min="13321" max="13321" width="11.140625" customWidth="1"/>
    <col min="13322" max="13326" width="0" hidden="1" customWidth="1"/>
    <col min="13569" max="13569" width="3.85546875" bestFit="1" customWidth="1"/>
    <col min="13570" max="13570" width="61.5703125" customWidth="1"/>
    <col min="13571" max="13571" width="10" customWidth="1"/>
    <col min="13572" max="13572" width="11.85546875" customWidth="1"/>
    <col min="13573" max="13573" width="12.42578125" customWidth="1"/>
    <col min="13574" max="13574" width="9.7109375" customWidth="1"/>
    <col min="13575" max="13575" width="12" customWidth="1"/>
    <col min="13576" max="13576" width="13.28515625" customWidth="1"/>
    <col min="13577" max="13577" width="11.140625" customWidth="1"/>
    <col min="13578" max="13582" width="0" hidden="1" customWidth="1"/>
    <col min="13825" max="13825" width="3.85546875" bestFit="1" customWidth="1"/>
    <col min="13826" max="13826" width="61.5703125" customWidth="1"/>
    <col min="13827" max="13827" width="10" customWidth="1"/>
    <col min="13828" max="13828" width="11.85546875" customWidth="1"/>
    <col min="13829" max="13829" width="12.42578125" customWidth="1"/>
    <col min="13830" max="13830" width="9.7109375" customWidth="1"/>
    <col min="13831" max="13831" width="12" customWidth="1"/>
    <col min="13832" max="13832" width="13.28515625" customWidth="1"/>
    <col min="13833" max="13833" width="11.140625" customWidth="1"/>
    <col min="13834" max="13838" width="0" hidden="1" customWidth="1"/>
    <col min="14081" max="14081" width="3.85546875" bestFit="1" customWidth="1"/>
    <col min="14082" max="14082" width="61.5703125" customWidth="1"/>
    <col min="14083" max="14083" width="10" customWidth="1"/>
    <col min="14084" max="14084" width="11.85546875" customWidth="1"/>
    <col min="14085" max="14085" width="12.42578125" customWidth="1"/>
    <col min="14086" max="14086" width="9.7109375" customWidth="1"/>
    <col min="14087" max="14087" width="12" customWidth="1"/>
    <col min="14088" max="14088" width="13.28515625" customWidth="1"/>
    <col min="14089" max="14089" width="11.140625" customWidth="1"/>
    <col min="14090" max="14094" width="0" hidden="1" customWidth="1"/>
    <col min="14337" max="14337" width="3.85546875" bestFit="1" customWidth="1"/>
    <col min="14338" max="14338" width="61.5703125" customWidth="1"/>
    <col min="14339" max="14339" width="10" customWidth="1"/>
    <col min="14340" max="14340" width="11.85546875" customWidth="1"/>
    <col min="14341" max="14341" width="12.42578125" customWidth="1"/>
    <col min="14342" max="14342" width="9.7109375" customWidth="1"/>
    <col min="14343" max="14343" width="12" customWidth="1"/>
    <col min="14344" max="14344" width="13.28515625" customWidth="1"/>
    <col min="14345" max="14345" width="11.140625" customWidth="1"/>
    <col min="14346" max="14350" width="0" hidden="1" customWidth="1"/>
    <col min="14593" max="14593" width="3.85546875" bestFit="1" customWidth="1"/>
    <col min="14594" max="14594" width="61.5703125" customWidth="1"/>
    <col min="14595" max="14595" width="10" customWidth="1"/>
    <col min="14596" max="14596" width="11.85546875" customWidth="1"/>
    <col min="14597" max="14597" width="12.42578125" customWidth="1"/>
    <col min="14598" max="14598" width="9.7109375" customWidth="1"/>
    <col min="14599" max="14599" width="12" customWidth="1"/>
    <col min="14600" max="14600" width="13.28515625" customWidth="1"/>
    <col min="14601" max="14601" width="11.140625" customWidth="1"/>
    <col min="14602" max="14606" width="0" hidden="1" customWidth="1"/>
    <col min="14849" max="14849" width="3.85546875" bestFit="1" customWidth="1"/>
    <col min="14850" max="14850" width="61.5703125" customWidth="1"/>
    <col min="14851" max="14851" width="10" customWidth="1"/>
    <col min="14852" max="14852" width="11.85546875" customWidth="1"/>
    <col min="14853" max="14853" width="12.42578125" customWidth="1"/>
    <col min="14854" max="14854" width="9.7109375" customWidth="1"/>
    <col min="14855" max="14855" width="12" customWidth="1"/>
    <col min="14856" max="14856" width="13.28515625" customWidth="1"/>
    <col min="14857" max="14857" width="11.140625" customWidth="1"/>
    <col min="14858" max="14862" width="0" hidden="1" customWidth="1"/>
    <col min="15105" max="15105" width="3.85546875" bestFit="1" customWidth="1"/>
    <col min="15106" max="15106" width="61.5703125" customWidth="1"/>
    <col min="15107" max="15107" width="10" customWidth="1"/>
    <col min="15108" max="15108" width="11.85546875" customWidth="1"/>
    <col min="15109" max="15109" width="12.42578125" customWidth="1"/>
    <col min="15110" max="15110" width="9.7109375" customWidth="1"/>
    <col min="15111" max="15111" width="12" customWidth="1"/>
    <col min="15112" max="15112" width="13.28515625" customWidth="1"/>
    <col min="15113" max="15113" width="11.140625" customWidth="1"/>
    <col min="15114" max="15118" width="0" hidden="1" customWidth="1"/>
    <col min="15361" max="15361" width="3.85546875" bestFit="1" customWidth="1"/>
    <col min="15362" max="15362" width="61.5703125" customWidth="1"/>
    <col min="15363" max="15363" width="10" customWidth="1"/>
    <col min="15364" max="15364" width="11.85546875" customWidth="1"/>
    <col min="15365" max="15365" width="12.42578125" customWidth="1"/>
    <col min="15366" max="15366" width="9.7109375" customWidth="1"/>
    <col min="15367" max="15367" width="12" customWidth="1"/>
    <col min="15368" max="15368" width="13.28515625" customWidth="1"/>
    <col min="15369" max="15369" width="11.140625" customWidth="1"/>
    <col min="15370" max="15374" width="0" hidden="1" customWidth="1"/>
    <col min="15617" max="15617" width="3.85546875" bestFit="1" customWidth="1"/>
    <col min="15618" max="15618" width="61.5703125" customWidth="1"/>
    <col min="15619" max="15619" width="10" customWidth="1"/>
    <col min="15620" max="15620" width="11.85546875" customWidth="1"/>
    <col min="15621" max="15621" width="12.42578125" customWidth="1"/>
    <col min="15622" max="15622" width="9.7109375" customWidth="1"/>
    <col min="15623" max="15623" width="12" customWidth="1"/>
    <col min="15624" max="15624" width="13.28515625" customWidth="1"/>
    <col min="15625" max="15625" width="11.140625" customWidth="1"/>
    <col min="15626" max="15630" width="0" hidden="1" customWidth="1"/>
    <col min="15873" max="15873" width="3.85546875" bestFit="1" customWidth="1"/>
    <col min="15874" max="15874" width="61.5703125" customWidth="1"/>
    <col min="15875" max="15875" width="10" customWidth="1"/>
    <col min="15876" max="15876" width="11.85546875" customWidth="1"/>
    <col min="15877" max="15877" width="12.42578125" customWidth="1"/>
    <col min="15878" max="15878" width="9.7109375" customWidth="1"/>
    <col min="15879" max="15879" width="12" customWidth="1"/>
    <col min="15880" max="15880" width="13.28515625" customWidth="1"/>
    <col min="15881" max="15881" width="11.140625" customWidth="1"/>
    <col min="15882" max="15886" width="0" hidden="1" customWidth="1"/>
    <col min="16129" max="16129" width="3.85546875" bestFit="1" customWidth="1"/>
    <col min="16130" max="16130" width="61.5703125" customWidth="1"/>
    <col min="16131" max="16131" width="10" customWidth="1"/>
    <col min="16132" max="16132" width="11.85546875" customWidth="1"/>
    <col min="16133" max="16133" width="12.42578125" customWidth="1"/>
    <col min="16134" max="16134" width="9.7109375" customWidth="1"/>
    <col min="16135" max="16135" width="12" customWidth="1"/>
    <col min="16136" max="16136" width="13.28515625" customWidth="1"/>
    <col min="16137" max="16137" width="11.140625" customWidth="1"/>
    <col min="16138" max="16142" width="0" hidden="1" customWidth="1"/>
  </cols>
  <sheetData>
    <row r="1" spans="1:11" ht="48" customHeight="1">
      <c r="A1" s="282" t="s">
        <v>226</v>
      </c>
      <c r="B1" s="283"/>
      <c r="C1" s="283"/>
      <c r="D1" s="283"/>
      <c r="E1" s="283"/>
      <c r="F1" s="283"/>
      <c r="G1" s="283"/>
      <c r="H1" s="283"/>
      <c r="I1" s="284"/>
      <c r="J1" s="1"/>
      <c r="K1">
        <f>8183508+115914+111083+8065006+3950803</f>
        <v>20426314</v>
      </c>
    </row>
    <row r="2" spans="1:11" ht="17.25" customHeight="1">
      <c r="A2" s="285" t="s">
        <v>0</v>
      </c>
      <c r="B2" s="287" t="s">
        <v>1</v>
      </c>
      <c r="C2" s="287" t="s">
        <v>2</v>
      </c>
      <c r="D2" s="288" t="s">
        <v>227</v>
      </c>
      <c r="E2" s="289"/>
      <c r="F2" s="289"/>
      <c r="G2" s="289"/>
      <c r="H2" s="290" t="s">
        <v>228</v>
      </c>
      <c r="I2" s="288" t="s">
        <v>3</v>
      </c>
    </row>
    <row r="3" spans="1:11" ht="22.5" customHeight="1">
      <c r="A3" s="286"/>
      <c r="B3" s="287"/>
      <c r="C3" s="287"/>
      <c r="D3" s="167" t="s">
        <v>4</v>
      </c>
      <c r="E3" s="166" t="s">
        <v>5</v>
      </c>
      <c r="F3" s="166" t="s">
        <v>6</v>
      </c>
      <c r="G3" s="166" t="s">
        <v>7</v>
      </c>
      <c r="H3" s="290"/>
      <c r="I3" s="288"/>
    </row>
    <row r="4" spans="1:11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1" ht="15.75">
      <c r="A5" s="2" t="s">
        <v>9</v>
      </c>
      <c r="B5" s="3" t="s">
        <v>10</v>
      </c>
      <c r="C5" s="169" t="s">
        <v>11</v>
      </c>
      <c r="D5" s="5">
        <f>D8+D9+D7</f>
        <v>4240</v>
      </c>
      <c r="E5" s="5">
        <f>E8+E9+E7</f>
        <v>3869.375</v>
      </c>
      <c r="F5" s="5">
        <f>ROUND(E5/D5*100,1)</f>
        <v>91.3</v>
      </c>
      <c r="G5" s="5">
        <f>E5-D5</f>
        <v>-370.625</v>
      </c>
      <c r="H5" s="85">
        <f>H7+H8+H9</f>
        <v>3807.6</v>
      </c>
      <c r="I5" s="6">
        <f>IF(H5&gt;0,ROUND(E5/H5*100,1),0)</f>
        <v>101.6</v>
      </c>
    </row>
    <row r="6" spans="1:11" ht="15.75" customHeight="1">
      <c r="A6" s="2"/>
      <c r="B6" s="2" t="s">
        <v>12</v>
      </c>
      <c r="C6" s="2"/>
      <c r="F6" s="7"/>
      <c r="G6" s="7"/>
      <c r="H6" s="86"/>
      <c r="I6" s="7"/>
    </row>
    <row r="7" spans="1:11" ht="15.75">
      <c r="A7" s="2"/>
      <c r="B7" s="8" t="s">
        <v>13</v>
      </c>
      <c r="C7" s="2" t="s">
        <v>11</v>
      </c>
      <c r="D7" s="87">
        <v>3786</v>
      </c>
      <c r="E7" s="88">
        <v>3349.4349999999999</v>
      </c>
      <c r="F7" s="7">
        <f>ROUND(E7/D7*100,1)</f>
        <v>88.5</v>
      </c>
      <c r="G7" s="7">
        <f>E7-D7</f>
        <v>-436.56500000000005</v>
      </c>
      <c r="H7" s="86">
        <v>3395.5</v>
      </c>
      <c r="I7" s="9">
        <f>IF(H7&gt;0,ROUND(E7/H7*100,1),0)</f>
        <v>98.6</v>
      </c>
    </row>
    <row r="8" spans="1:11" ht="15.75">
      <c r="A8" s="2"/>
      <c r="B8" s="8" t="s">
        <v>14</v>
      </c>
      <c r="C8" s="2" t="s">
        <v>11</v>
      </c>
      <c r="D8" s="87">
        <v>54</v>
      </c>
      <c r="E8" s="88">
        <v>63.905000000000001</v>
      </c>
      <c r="F8" s="7">
        <f>ROUND(E8/D8*100,1)</f>
        <v>118.3</v>
      </c>
      <c r="G8" s="7">
        <f>E8-D8</f>
        <v>9.9050000000000011</v>
      </c>
      <c r="H8" s="86">
        <v>57</v>
      </c>
      <c r="I8" s="9">
        <f t="shared" ref="I8:I28" si="0">IF(H8&gt;0,ROUND(E8/H8*100,1),0)</f>
        <v>112.1</v>
      </c>
    </row>
    <row r="9" spans="1:11" ht="15.75">
      <c r="A9" s="2"/>
      <c r="B9" s="8" t="s">
        <v>15</v>
      </c>
      <c r="C9" s="2" t="s">
        <v>11</v>
      </c>
      <c r="D9" s="87">
        <v>400</v>
      </c>
      <c r="E9" s="88">
        <v>456.03500000000003</v>
      </c>
      <c r="F9" s="7">
        <f>ROUND(E9/D9*100,1)</f>
        <v>114</v>
      </c>
      <c r="G9" s="7">
        <f>E9-D9</f>
        <v>56.035000000000025</v>
      </c>
      <c r="H9" s="86">
        <v>355.1</v>
      </c>
      <c r="I9" s="9">
        <f t="shared" si="0"/>
        <v>128.4</v>
      </c>
    </row>
    <row r="10" spans="1:11" ht="15.75">
      <c r="A10" s="2" t="s">
        <v>16</v>
      </c>
      <c r="B10" s="3" t="s">
        <v>17</v>
      </c>
      <c r="C10" s="168" t="s">
        <v>11</v>
      </c>
      <c r="D10" s="6">
        <f>D12+D13</f>
        <v>450</v>
      </c>
      <c r="E10" s="37">
        <f>E12+E13</f>
        <v>373.43899999999996</v>
      </c>
      <c r="F10" s="89">
        <f>ROUND(E10/D10*100,1)</f>
        <v>83</v>
      </c>
      <c r="G10" s="89">
        <f>E10-D10</f>
        <v>-76.561000000000035</v>
      </c>
      <c r="H10" s="6">
        <f>H12+H13</f>
        <v>377.2</v>
      </c>
      <c r="I10" s="9">
        <f t="shared" si="0"/>
        <v>99</v>
      </c>
    </row>
    <row r="11" spans="1:11" ht="17.25" customHeight="1">
      <c r="A11" s="2"/>
      <c r="B11" s="2" t="s">
        <v>12</v>
      </c>
      <c r="C11" s="2"/>
      <c r="D11" s="87"/>
      <c r="E11" s="88"/>
      <c r="F11" s="7"/>
      <c r="G11" s="7"/>
      <c r="H11" s="86"/>
      <c r="I11" s="9">
        <f t="shared" si="0"/>
        <v>0</v>
      </c>
    </row>
    <row r="12" spans="1:11" ht="15.75">
      <c r="A12" s="2"/>
      <c r="B12" s="8" t="s">
        <v>18</v>
      </c>
      <c r="C12" s="2" t="s">
        <v>11</v>
      </c>
      <c r="D12" s="87">
        <v>200</v>
      </c>
      <c r="E12" s="90">
        <v>172.26599999999999</v>
      </c>
      <c r="F12" s="7">
        <f>ROUND(E12/D12*100,1)</f>
        <v>86.1</v>
      </c>
      <c r="G12" s="7">
        <f>E12-D12</f>
        <v>-27.734000000000009</v>
      </c>
      <c r="H12" s="86">
        <v>102.5</v>
      </c>
      <c r="I12" s="9">
        <f t="shared" si="0"/>
        <v>168.1</v>
      </c>
    </row>
    <row r="13" spans="1:11" ht="15.75">
      <c r="A13" s="2"/>
      <c r="B13" s="8" t="s">
        <v>19</v>
      </c>
      <c r="C13" s="2" t="s">
        <v>11</v>
      </c>
      <c r="D13" s="87">
        <v>250</v>
      </c>
      <c r="E13" s="90">
        <v>201.173</v>
      </c>
      <c r="F13" s="7">
        <f>ROUND(E13/D13*100,1)</f>
        <v>80.5</v>
      </c>
      <c r="G13" s="7">
        <f>E13-D13</f>
        <v>-48.826999999999998</v>
      </c>
      <c r="H13" s="86">
        <v>274.7</v>
      </c>
      <c r="I13" s="9">
        <f t="shared" si="0"/>
        <v>73.2</v>
      </c>
    </row>
    <row r="14" spans="1:11" ht="15.75">
      <c r="A14" s="2" t="s">
        <v>20</v>
      </c>
      <c r="B14" s="3" t="s">
        <v>21</v>
      </c>
      <c r="C14" s="169" t="s">
        <v>11</v>
      </c>
      <c r="D14" s="5">
        <f>D16+D17+D18</f>
        <v>4289.3999999999996</v>
      </c>
      <c r="E14" s="5">
        <f>E16+E17+E18</f>
        <v>3885.4770000000003</v>
      </c>
      <c r="F14" s="5">
        <f>ROUND(E14/D14*100,1)</f>
        <v>90.6</v>
      </c>
      <c r="G14" s="89">
        <f>E14-D14</f>
        <v>-403.92299999999932</v>
      </c>
      <c r="H14" s="6">
        <f>H16+H17+H18</f>
        <v>3964.3999999999996</v>
      </c>
      <c r="I14" s="9">
        <f t="shared" si="0"/>
        <v>98</v>
      </c>
      <c r="J14" t="s">
        <v>22</v>
      </c>
    </row>
    <row r="15" spans="1:11" ht="18" customHeight="1">
      <c r="A15" s="2"/>
      <c r="B15" s="2" t="s">
        <v>12</v>
      </c>
      <c r="C15" s="2"/>
      <c r="D15" s="87"/>
      <c r="E15" s="88"/>
      <c r="F15" s="7"/>
      <c r="G15" s="7"/>
      <c r="H15" s="86"/>
      <c r="I15" s="9">
        <f t="shared" si="0"/>
        <v>0</v>
      </c>
    </row>
    <row r="16" spans="1:11" ht="15.75">
      <c r="A16" s="2"/>
      <c r="B16" s="8" t="s">
        <v>13</v>
      </c>
      <c r="C16" s="2" t="s">
        <v>11</v>
      </c>
      <c r="D16" s="87">
        <v>3835.4</v>
      </c>
      <c r="E16" s="88">
        <v>3445.7130000000002</v>
      </c>
      <c r="F16" s="7">
        <f>ROUND(E16/D16*100,1)</f>
        <v>89.8</v>
      </c>
      <c r="G16" s="7">
        <f>E16-D16</f>
        <v>-389.6869999999999</v>
      </c>
      <c r="H16" s="86">
        <v>3592.7</v>
      </c>
      <c r="I16" s="9">
        <f t="shared" si="0"/>
        <v>95.9</v>
      </c>
      <c r="J16" t="s">
        <v>22</v>
      </c>
    </row>
    <row r="17" spans="1:12" ht="15.75">
      <c r="A17" s="2"/>
      <c r="B17" s="8" t="s">
        <v>14</v>
      </c>
      <c r="C17" s="2" t="s">
        <v>11</v>
      </c>
      <c r="D17" s="87">
        <v>54</v>
      </c>
      <c r="E17" s="88">
        <v>52.996000000000002</v>
      </c>
      <c r="F17" s="7">
        <f>ROUND(E17/D17*100,1)</f>
        <v>98.1</v>
      </c>
      <c r="G17" s="7">
        <f>E17-D17</f>
        <v>-1.0039999999999978</v>
      </c>
      <c r="H17" s="86">
        <v>57</v>
      </c>
      <c r="I17" s="9">
        <f t="shared" si="0"/>
        <v>93</v>
      </c>
      <c r="J17" t="s">
        <v>22</v>
      </c>
    </row>
    <row r="18" spans="1:12" ht="15.75">
      <c r="A18" s="2"/>
      <c r="B18" s="8" t="s">
        <v>15</v>
      </c>
      <c r="C18" s="2" t="s">
        <v>11</v>
      </c>
      <c r="D18" s="87">
        <v>400</v>
      </c>
      <c r="E18" s="88">
        <v>386.76799999999997</v>
      </c>
      <c r="F18" s="7">
        <f>ROUND(E18/D18*100,1)</f>
        <v>96.7</v>
      </c>
      <c r="G18" s="7">
        <f>E18-D18</f>
        <v>-13.232000000000028</v>
      </c>
      <c r="H18" s="86">
        <v>314.7</v>
      </c>
      <c r="I18" s="9">
        <f t="shared" si="0"/>
        <v>122.9</v>
      </c>
    </row>
    <row r="19" spans="1:12" ht="18.75">
      <c r="A19" s="2" t="s">
        <v>23</v>
      </c>
      <c r="B19" s="3" t="s">
        <v>24</v>
      </c>
      <c r="C19" s="169" t="s">
        <v>25</v>
      </c>
      <c r="D19" s="5">
        <f>D21+D22+D23+D24</f>
        <v>27600</v>
      </c>
      <c r="E19" s="5">
        <f>E21+E22+E23+E24</f>
        <v>23015.638999999999</v>
      </c>
      <c r="F19" s="89">
        <f>ROUND(E19/D19*100,1)</f>
        <v>83.4</v>
      </c>
      <c r="G19" s="89">
        <f>E19-D19</f>
        <v>-4584.3610000000008</v>
      </c>
      <c r="H19" s="6">
        <f>H21+H22+H23+H24</f>
        <v>20442.5</v>
      </c>
      <c r="I19" s="9">
        <f t="shared" si="0"/>
        <v>112.6</v>
      </c>
      <c r="J19" t="s">
        <v>22</v>
      </c>
    </row>
    <row r="20" spans="1:12" ht="15.75">
      <c r="A20" s="2"/>
      <c r="B20" s="3" t="s">
        <v>26</v>
      </c>
      <c r="C20" s="2"/>
      <c r="D20" s="87"/>
      <c r="E20" s="88"/>
      <c r="F20" s="7"/>
      <c r="G20" s="7"/>
      <c r="H20" s="86"/>
      <c r="I20" s="9">
        <f t="shared" si="0"/>
        <v>0</v>
      </c>
      <c r="L20" s="11"/>
    </row>
    <row r="21" spans="1:12" ht="18.75">
      <c r="A21" s="2"/>
      <c r="B21" s="8" t="s">
        <v>27</v>
      </c>
      <c r="C21" s="2" t="s">
        <v>28</v>
      </c>
      <c r="D21" s="87">
        <v>9520</v>
      </c>
      <c r="E21" s="88">
        <v>7560.7790000000005</v>
      </c>
      <c r="F21" s="7">
        <f>ROUND(E21/D21*100,1)</f>
        <v>79.400000000000006</v>
      </c>
      <c r="G21" s="7">
        <f t="shared" ref="G21:G31" si="1">E21-D21</f>
        <v>-1959.2209999999995</v>
      </c>
      <c r="H21" s="86">
        <v>7051.6</v>
      </c>
      <c r="I21" s="9">
        <f t="shared" si="0"/>
        <v>107.2</v>
      </c>
      <c r="J21" t="s">
        <v>22</v>
      </c>
    </row>
    <row r="22" spans="1:12" ht="18.75">
      <c r="A22" s="2"/>
      <c r="B22" s="8" t="s">
        <v>29</v>
      </c>
      <c r="C22" s="2" t="s">
        <v>28</v>
      </c>
      <c r="D22" s="87">
        <v>17500</v>
      </c>
      <c r="E22" s="88">
        <v>15345.4</v>
      </c>
      <c r="F22" s="7">
        <f>ROUND(E22/D22*100,1)</f>
        <v>87.7</v>
      </c>
      <c r="G22" s="7">
        <f t="shared" si="1"/>
        <v>-2154.6000000000004</v>
      </c>
      <c r="H22" s="86">
        <v>12120.8</v>
      </c>
      <c r="I22" s="9">
        <f t="shared" si="0"/>
        <v>126.6</v>
      </c>
      <c r="J22" t="s">
        <v>22</v>
      </c>
    </row>
    <row r="23" spans="1:12" ht="18.75">
      <c r="A23" s="2"/>
      <c r="B23" s="8" t="s">
        <v>30</v>
      </c>
      <c r="C23" s="2" t="s">
        <v>28</v>
      </c>
      <c r="D23" s="87">
        <v>0</v>
      </c>
      <c r="E23" s="88"/>
      <c r="F23" s="7"/>
      <c r="G23" s="7">
        <f t="shared" si="1"/>
        <v>0</v>
      </c>
      <c r="H23" s="86"/>
      <c r="I23" s="9">
        <f t="shared" si="0"/>
        <v>0</v>
      </c>
      <c r="J23" t="s">
        <v>22</v>
      </c>
    </row>
    <row r="24" spans="1:12" ht="18.75">
      <c r="A24" s="2"/>
      <c r="B24" s="8" t="s">
        <v>31</v>
      </c>
      <c r="C24" s="2" t="s">
        <v>28</v>
      </c>
      <c r="D24" s="87">
        <v>580</v>
      </c>
      <c r="E24" s="88">
        <v>109.46</v>
      </c>
      <c r="F24" s="7">
        <f t="shared" ref="F24:F29" si="2">ROUND(E24/D24*100,1)</f>
        <v>18.899999999999999</v>
      </c>
      <c r="G24" s="7">
        <f t="shared" si="1"/>
        <v>-470.54</v>
      </c>
      <c r="H24" s="86">
        <v>1270.0999999999999</v>
      </c>
      <c r="I24" s="9">
        <f t="shared" si="0"/>
        <v>8.6</v>
      </c>
      <c r="J24" t="s">
        <v>22</v>
      </c>
    </row>
    <row r="25" spans="1:12" ht="15.75">
      <c r="A25" s="2" t="s">
        <v>32</v>
      </c>
      <c r="B25" s="12" t="s">
        <v>33</v>
      </c>
      <c r="C25" s="13" t="s">
        <v>34</v>
      </c>
      <c r="D25" s="91">
        <v>963</v>
      </c>
      <c r="E25" s="14">
        <v>1411</v>
      </c>
      <c r="F25" s="7">
        <f t="shared" si="2"/>
        <v>146.5</v>
      </c>
      <c r="G25" s="9">
        <f t="shared" si="1"/>
        <v>448</v>
      </c>
      <c r="H25" s="86">
        <v>1555.5</v>
      </c>
      <c r="I25" s="9">
        <f t="shared" si="0"/>
        <v>90.7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91">
        <v>658906.65800000005</v>
      </c>
      <c r="E26" s="14">
        <v>609142.06900000002</v>
      </c>
      <c r="F26" s="9">
        <f t="shared" si="2"/>
        <v>92.4</v>
      </c>
      <c r="G26" s="9">
        <f t="shared" si="1"/>
        <v>-49764.589000000036</v>
      </c>
      <c r="H26" s="86">
        <v>605358.38899999997</v>
      </c>
      <c r="I26" s="9">
        <f>IF(H26&gt;0,ROUND(E26/H26*100,1),0)</f>
        <v>100.6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208</v>
      </c>
      <c r="C27" s="17" t="s">
        <v>37</v>
      </c>
      <c r="D27" s="91">
        <v>4718.49</v>
      </c>
      <c r="E27" s="14">
        <v>110.31399999999999</v>
      </c>
      <c r="F27" s="9">
        <f>ROUND(E27/D27*100,1)</f>
        <v>2.2999999999999998</v>
      </c>
      <c r="G27" s="9">
        <f t="shared" si="1"/>
        <v>-4608.1759999999995</v>
      </c>
      <c r="H27" s="86">
        <v>398.2</v>
      </c>
      <c r="I27" s="9">
        <f t="shared" si="0"/>
        <v>27.7</v>
      </c>
      <c r="J27" t="s">
        <v>22</v>
      </c>
      <c r="K27"/>
    </row>
    <row r="28" spans="1:12" ht="31.5">
      <c r="A28" s="2" t="s">
        <v>39</v>
      </c>
      <c r="B28" s="137" t="s">
        <v>40</v>
      </c>
      <c r="C28" s="17" t="s">
        <v>37</v>
      </c>
      <c r="D28" s="91">
        <v>124407.399</v>
      </c>
      <c r="E28" s="14">
        <v>206834.7</v>
      </c>
      <c r="F28" s="156">
        <f t="shared" si="2"/>
        <v>166.3</v>
      </c>
      <c r="G28" s="9">
        <f t="shared" si="1"/>
        <v>82427.301000000007</v>
      </c>
      <c r="H28" s="86">
        <v>24392.363000000001</v>
      </c>
      <c r="I28" s="9">
        <f t="shared" si="0"/>
        <v>847.9</v>
      </c>
      <c r="J28" t="s">
        <v>22</v>
      </c>
    </row>
    <row r="29" spans="1:12" ht="19.5" customHeight="1">
      <c r="A29" s="13" t="s">
        <v>41</v>
      </c>
      <c r="B29" s="21" t="s">
        <v>42</v>
      </c>
      <c r="C29" s="17" t="s">
        <v>37</v>
      </c>
      <c r="D29" s="91">
        <v>6000</v>
      </c>
      <c r="E29" s="14">
        <v>6003.2</v>
      </c>
      <c r="F29" s="9">
        <f t="shared" si="2"/>
        <v>100.1</v>
      </c>
      <c r="G29" s="9">
        <f t="shared" si="1"/>
        <v>3.1999999999998181</v>
      </c>
      <c r="H29" s="86">
        <v>5218</v>
      </c>
      <c r="I29" s="9">
        <f>IF(H29&gt;0,ROUND(E29/H29*100,1),0)</f>
        <v>115</v>
      </c>
      <c r="J29" t="s">
        <v>22</v>
      </c>
    </row>
    <row r="30" spans="1:12" ht="21.75" customHeight="1">
      <c r="A30" s="291" t="s">
        <v>43</v>
      </c>
      <c r="B30" s="292"/>
      <c r="C30" s="292"/>
      <c r="D30" s="292"/>
      <c r="E30" s="292"/>
      <c r="F30" s="292"/>
      <c r="G30" s="292"/>
      <c r="H30" s="292"/>
      <c r="I30" s="292"/>
    </row>
    <row r="31" spans="1:12" ht="24" hidden="1" customHeight="1" outlineLevel="1">
      <c r="A31" s="13" t="s">
        <v>44</v>
      </c>
      <c r="B31" s="93" t="s">
        <v>209</v>
      </c>
      <c r="C31" s="17" t="s">
        <v>37</v>
      </c>
      <c r="D31" s="22"/>
      <c r="E31" s="14"/>
      <c r="F31" s="23"/>
      <c r="G31" s="18">
        <f t="shared" si="1"/>
        <v>0</v>
      </c>
      <c r="H31" s="14">
        <f>0.495*1000</f>
        <v>495</v>
      </c>
      <c r="I31" s="18">
        <f>IF(H31&gt;0,ROUND(E31/H31*100,1),0)</f>
        <v>0</v>
      </c>
      <c r="J31" s="24" t="s">
        <v>46</v>
      </c>
    </row>
    <row r="32" spans="1:12" ht="15.75" hidden="1" outlineLevel="1">
      <c r="A32" s="2" t="s">
        <v>47</v>
      </c>
      <c r="B32" s="12" t="s">
        <v>48</v>
      </c>
      <c r="C32" s="17" t="s">
        <v>37</v>
      </c>
      <c r="D32" s="22"/>
      <c r="E32" s="94"/>
      <c r="F32" s="23"/>
      <c r="G32" s="25"/>
      <c r="H32" s="18"/>
      <c r="I32" s="18">
        <f>IF(H32&gt;0,ROUND(E32/H32*100,1),0)</f>
        <v>0</v>
      </c>
    </row>
    <row r="33" spans="1:11" ht="15.75" collapsed="1">
      <c r="A33" s="2" t="s">
        <v>49</v>
      </c>
      <c r="B33" s="3" t="s">
        <v>50</v>
      </c>
      <c r="C33" s="17" t="s">
        <v>37</v>
      </c>
      <c r="D33" s="26">
        <f>D35+D39+D40+D41+D42+D43+D45+D44</f>
        <v>117893.18000000001</v>
      </c>
      <c r="E33" s="26">
        <f>E35+E39+E40+E41+E42+E43+E45+E44</f>
        <v>146958</v>
      </c>
      <c r="F33" s="26">
        <f>ROUND(E33/D33*100,1)</f>
        <v>124.7</v>
      </c>
      <c r="G33" s="26">
        <f t="shared" ref="G33:G44" si="3">E33-D33</f>
        <v>29064.819999999992</v>
      </c>
      <c r="H33" s="26">
        <f>H35+H39+H40+H41+H42+H43+H45+H44</f>
        <v>-25527.299999999945</v>
      </c>
      <c r="I33" s="26">
        <f t="shared" ref="I33:I45" si="4">IF(H33&gt;0,ROUND(E33/H33*100,1),0)</f>
        <v>0</v>
      </c>
      <c r="J33" t="s">
        <v>51</v>
      </c>
    </row>
    <row r="34" spans="1:11" ht="15.75">
      <c r="A34" s="2"/>
      <c r="B34" s="162" t="s">
        <v>52</v>
      </c>
      <c r="C34" s="17" t="s">
        <v>37</v>
      </c>
      <c r="D34" s="95"/>
      <c r="E34" s="96"/>
      <c r="F34" s="27"/>
      <c r="G34" s="27">
        <f t="shared" si="3"/>
        <v>0</v>
      </c>
      <c r="H34" s="28"/>
      <c r="I34" s="28">
        <f t="shared" si="4"/>
        <v>0</v>
      </c>
    </row>
    <row r="35" spans="1:11" ht="15.75">
      <c r="A35" s="2"/>
      <c r="B35" s="163" t="s">
        <v>53</v>
      </c>
      <c r="C35" s="17" t="s">
        <v>37</v>
      </c>
      <c r="D35" s="27">
        <f>D37+D38</f>
        <v>72.880000000002923</v>
      </c>
      <c r="E35" s="28">
        <f>E37+E38</f>
        <v>0</v>
      </c>
      <c r="F35" s="28">
        <f>ROUND(E35/D35*100,1)</f>
        <v>0</v>
      </c>
      <c r="G35" s="27">
        <f t="shared" si="3"/>
        <v>-72.880000000002923</v>
      </c>
      <c r="H35" s="86">
        <f>H37+H38</f>
        <v>-79745.099999999948</v>
      </c>
      <c r="I35" s="28">
        <f t="shared" si="4"/>
        <v>0</v>
      </c>
      <c r="J35" t="s">
        <v>51</v>
      </c>
    </row>
    <row r="36" spans="1:11" ht="15.75">
      <c r="A36" s="2"/>
      <c r="B36" s="163" t="s">
        <v>54</v>
      </c>
      <c r="C36" s="17" t="s">
        <v>37</v>
      </c>
      <c r="D36" s="95"/>
      <c r="E36" s="97"/>
      <c r="F36" s="28"/>
      <c r="G36" s="27"/>
      <c r="H36" s="86"/>
      <c r="I36" s="28">
        <f t="shared" si="4"/>
        <v>0</v>
      </c>
    </row>
    <row r="37" spans="1:11" ht="15.75">
      <c r="A37" s="2"/>
      <c r="B37" s="164" t="s">
        <v>55</v>
      </c>
      <c r="C37" s="17" t="s">
        <v>37</v>
      </c>
      <c r="D37" s="95"/>
      <c r="E37" s="97"/>
      <c r="F37" s="28"/>
      <c r="G37" s="27"/>
      <c r="H37" s="86"/>
      <c r="I37" s="28">
        <f t="shared" si="4"/>
        <v>0</v>
      </c>
    </row>
    <row r="38" spans="1:11" ht="15.75">
      <c r="A38" s="2"/>
      <c r="B38" s="164" t="s">
        <v>56</v>
      </c>
      <c r="C38" s="17" t="s">
        <v>37</v>
      </c>
      <c r="D38" s="95">
        <f>D96</f>
        <v>72.880000000002923</v>
      </c>
      <c r="E38" s="97"/>
      <c r="F38" s="28">
        <f>ROUND(E38/D38*100,1)</f>
        <v>0</v>
      </c>
      <c r="G38" s="27">
        <f t="shared" si="3"/>
        <v>-72.880000000002923</v>
      </c>
      <c r="H38" s="86">
        <f>H96</f>
        <v>-79745.099999999948</v>
      </c>
      <c r="I38" s="28">
        <f t="shared" si="4"/>
        <v>0</v>
      </c>
    </row>
    <row r="39" spans="1:11" ht="15.75">
      <c r="A39" s="2"/>
      <c r="B39" s="163" t="s">
        <v>57</v>
      </c>
      <c r="C39" s="17" t="s">
        <v>37</v>
      </c>
      <c r="D39" s="95">
        <f>D130</f>
        <v>117820.3</v>
      </c>
      <c r="E39" s="97">
        <v>146958</v>
      </c>
      <c r="F39" s="28">
        <f>ROUND(E39/D39*100,1)</f>
        <v>124.7</v>
      </c>
      <c r="G39" s="27">
        <f t="shared" si="3"/>
        <v>29137.699999999997</v>
      </c>
      <c r="H39" s="86"/>
      <c r="I39" s="28">
        <f t="shared" si="4"/>
        <v>0</v>
      </c>
      <c r="J39" t="s">
        <v>58</v>
      </c>
      <c r="K39" s="95">
        <v>34799.205999999998</v>
      </c>
    </row>
    <row r="40" spans="1:11" ht="15.75">
      <c r="A40" s="2"/>
      <c r="B40" s="165" t="s">
        <v>59</v>
      </c>
      <c r="C40" s="17" t="s">
        <v>37</v>
      </c>
      <c r="D40" s="99"/>
      <c r="E40" s="97"/>
      <c r="F40" s="27"/>
      <c r="G40" s="27">
        <f t="shared" si="3"/>
        <v>0</v>
      </c>
      <c r="H40" s="28"/>
      <c r="I40" s="28">
        <f t="shared" si="4"/>
        <v>0</v>
      </c>
    </row>
    <row r="41" spans="1:11" ht="33.75" customHeight="1">
      <c r="A41" s="100"/>
      <c r="B41" s="165" t="s">
        <v>60</v>
      </c>
      <c r="C41" s="17" t="s">
        <v>37</v>
      </c>
      <c r="D41" s="95"/>
      <c r="E41" s="97">
        <v>0</v>
      </c>
      <c r="F41" s="27"/>
      <c r="G41" s="27">
        <f t="shared" si="3"/>
        <v>0</v>
      </c>
      <c r="H41" s="28">
        <v>0</v>
      </c>
      <c r="I41" s="28">
        <f t="shared" si="4"/>
        <v>0</v>
      </c>
      <c r="J41" t="s">
        <v>51</v>
      </c>
    </row>
    <row r="42" spans="1:11" ht="15.75">
      <c r="A42" s="2"/>
      <c r="B42" s="163" t="s">
        <v>61</v>
      </c>
      <c r="C42" s="17" t="s">
        <v>37</v>
      </c>
      <c r="D42" s="91"/>
      <c r="E42" s="14"/>
      <c r="F42" s="23"/>
      <c r="G42" s="27">
        <f t="shared" si="3"/>
        <v>0</v>
      </c>
      <c r="H42" s="18"/>
      <c r="I42" s="18">
        <f t="shared" si="4"/>
        <v>0</v>
      </c>
    </row>
    <row r="43" spans="1:11" ht="15.75">
      <c r="A43" s="2"/>
      <c r="B43" s="165" t="s">
        <v>62</v>
      </c>
      <c r="C43" s="17" t="s">
        <v>37</v>
      </c>
      <c r="D43" s="91"/>
      <c r="E43" s="14"/>
      <c r="F43" s="18"/>
      <c r="G43" s="27">
        <f t="shared" si="3"/>
        <v>0</v>
      </c>
      <c r="H43" s="18"/>
      <c r="I43" s="18">
        <f t="shared" si="4"/>
        <v>0</v>
      </c>
    </row>
    <row r="44" spans="1:11" ht="15.75">
      <c r="A44" s="2"/>
      <c r="B44" s="165" t="s">
        <v>63</v>
      </c>
      <c r="C44" s="17" t="s">
        <v>37</v>
      </c>
      <c r="D44" s="91"/>
      <c r="E44" s="101"/>
      <c r="F44" s="18"/>
      <c r="G44" s="27">
        <f t="shared" si="3"/>
        <v>0</v>
      </c>
      <c r="H44" s="86">
        <v>54217.8</v>
      </c>
      <c r="I44" s="18">
        <f t="shared" si="4"/>
        <v>0</v>
      </c>
    </row>
    <row r="45" spans="1:11" ht="15.75" customHeight="1">
      <c r="A45" s="2"/>
      <c r="B45" s="163" t="s">
        <v>64</v>
      </c>
      <c r="C45" s="17" t="s">
        <v>37</v>
      </c>
      <c r="D45" s="91"/>
      <c r="E45" s="14"/>
      <c r="F45" s="18"/>
      <c r="G45" s="18"/>
      <c r="H45" s="18"/>
      <c r="I45" s="18">
        <f t="shared" si="4"/>
        <v>0</v>
      </c>
    </row>
    <row r="46" spans="1:11" ht="47.25" hidden="1" outlineLevel="1">
      <c r="A46" s="2"/>
      <c r="B46" s="12" t="s">
        <v>65</v>
      </c>
      <c r="C46" s="13" t="s">
        <v>37</v>
      </c>
      <c r="D46" s="102"/>
      <c r="E46" s="102"/>
      <c r="F46" s="102"/>
      <c r="G46" s="102">
        <f>E46-D46</f>
        <v>0</v>
      </c>
      <c r="H46" s="102"/>
      <c r="I46" s="102">
        <f>IF(H46&gt;0,ROUND(E46/H46*100,1),0)</f>
        <v>0</v>
      </c>
    </row>
    <row r="47" spans="1:11" ht="15.75" collapsed="1">
      <c r="A47" s="297" t="s">
        <v>66</v>
      </c>
      <c r="B47" s="297"/>
      <c r="C47" s="297"/>
      <c r="D47" s="297"/>
      <c r="E47" s="297"/>
      <c r="F47" s="297"/>
      <c r="G47" s="297"/>
      <c r="H47" s="297"/>
      <c r="I47" s="297"/>
    </row>
    <row r="48" spans="1:11" ht="15.75">
      <c r="A48" s="2" t="s">
        <v>67</v>
      </c>
      <c r="B48" s="3" t="s">
        <v>68</v>
      </c>
      <c r="C48" s="2"/>
      <c r="D48" s="87"/>
      <c r="E48" s="88"/>
      <c r="F48" s="7"/>
      <c r="G48" s="7"/>
      <c r="H48" s="7"/>
      <c r="I48" s="7">
        <f t="shared" ref="I48:I54" si="5">IF(H48&gt;0,ROUND(E48/H48*100,1),0)</f>
        <v>0</v>
      </c>
    </row>
    <row r="49" spans="1:10" ht="15.75" hidden="1" outlineLevel="1">
      <c r="A49" s="2"/>
      <c r="B49" s="12" t="s">
        <v>69</v>
      </c>
      <c r="C49" s="13" t="s">
        <v>70</v>
      </c>
      <c r="D49" s="103" t="e">
        <f>D51+D52</f>
        <v>#VALUE!</v>
      </c>
      <c r="E49" s="104" t="e">
        <f>E51+E52</f>
        <v>#VALUE!</v>
      </c>
      <c r="F49" s="102" t="e">
        <f>IF(E49&gt;0,ROUND(E49/D49*100,1),0)</f>
        <v>#VALUE!</v>
      </c>
      <c r="G49" s="102" t="e">
        <f>E49-D49</f>
        <v>#VALUE!</v>
      </c>
      <c r="H49" s="105" t="e">
        <f>H51+H52</f>
        <v>#VALUE!</v>
      </c>
      <c r="I49" s="102" t="e">
        <f t="shared" si="5"/>
        <v>#VALUE!</v>
      </c>
    </row>
    <row r="50" spans="1:10" ht="15.75" hidden="1" outlineLevel="1">
      <c r="A50" s="2"/>
      <c r="B50" s="2" t="s">
        <v>12</v>
      </c>
      <c r="C50" s="13"/>
      <c r="D50" s="103"/>
      <c r="E50" s="104"/>
      <c r="F50" s="105"/>
      <c r="G50" s="105"/>
      <c r="H50" s="105"/>
      <c r="I50" s="105">
        <f t="shared" si="5"/>
        <v>0</v>
      </c>
    </row>
    <row r="51" spans="1:10" ht="15.75" collapsed="1">
      <c r="A51" s="2"/>
      <c r="B51" s="8" t="s">
        <v>71</v>
      </c>
      <c r="C51" s="13" t="s">
        <v>72</v>
      </c>
      <c r="D51" s="91" t="s">
        <v>73</v>
      </c>
      <c r="E51" s="14" t="s">
        <v>73</v>
      </c>
      <c r="F51" s="9" t="s">
        <v>73</v>
      </c>
      <c r="G51" s="9" t="s">
        <v>73</v>
      </c>
      <c r="H51" s="106" t="s">
        <v>73</v>
      </c>
      <c r="I51" s="9">
        <v>0</v>
      </c>
    </row>
    <row r="52" spans="1:10" ht="15.75" hidden="1" outlineLevel="1">
      <c r="A52" s="2"/>
      <c r="B52" s="12" t="s">
        <v>74</v>
      </c>
      <c r="C52" s="13" t="s">
        <v>70</v>
      </c>
      <c r="D52" s="103"/>
      <c r="E52" s="104"/>
      <c r="F52" s="102"/>
      <c r="G52" s="102"/>
      <c r="H52" s="105"/>
      <c r="I52" s="102">
        <f t="shared" si="5"/>
        <v>0</v>
      </c>
    </row>
    <row r="53" spans="1:10" ht="15.75" hidden="1" outlineLevel="1">
      <c r="A53" s="2"/>
      <c r="B53" s="12" t="s">
        <v>75</v>
      </c>
      <c r="C53" s="13" t="s">
        <v>70</v>
      </c>
      <c r="D53" s="22"/>
      <c r="E53" s="94"/>
      <c r="F53" s="102"/>
      <c r="G53" s="102"/>
      <c r="H53" s="102"/>
      <c r="I53" s="102">
        <f t="shared" si="5"/>
        <v>0</v>
      </c>
    </row>
    <row r="54" spans="1:10" ht="15.75" collapsed="1">
      <c r="A54" s="2" t="s">
        <v>76</v>
      </c>
      <c r="B54" s="3" t="s">
        <v>77</v>
      </c>
      <c r="C54" s="13"/>
      <c r="D54" s="103"/>
      <c r="E54" s="104"/>
      <c r="F54" s="105"/>
      <c r="G54" s="105"/>
      <c r="H54" s="105"/>
      <c r="I54" s="105">
        <f t="shared" si="5"/>
        <v>0</v>
      </c>
    </row>
    <row r="55" spans="1:10" ht="15.75">
      <c r="A55" s="2"/>
      <c r="B55" s="8" t="s">
        <v>78</v>
      </c>
      <c r="C55" s="13" t="s">
        <v>79</v>
      </c>
      <c r="D55" s="91" t="s">
        <v>73</v>
      </c>
      <c r="E55" s="14" t="s">
        <v>73</v>
      </c>
      <c r="F55" s="9" t="s">
        <v>73</v>
      </c>
      <c r="G55" s="9" t="s">
        <v>73</v>
      </c>
      <c r="H55" s="9" t="s">
        <v>73</v>
      </c>
      <c r="I55" s="9">
        <v>0</v>
      </c>
    </row>
    <row r="56" spans="1:10" ht="15.75" hidden="1" outlineLevel="1">
      <c r="A56" s="2"/>
      <c r="B56" s="12" t="s">
        <v>80</v>
      </c>
      <c r="C56" s="13" t="s">
        <v>81</v>
      </c>
      <c r="D56" s="107"/>
      <c r="E56" s="105"/>
      <c r="F56" s="105"/>
      <c r="G56" s="105"/>
      <c r="H56" s="105"/>
      <c r="I56" s="105"/>
    </row>
    <row r="57" spans="1:10" ht="24.75" hidden="1" customHeight="1" outlineLevel="1">
      <c r="A57" s="2"/>
      <c r="B57" s="12" t="s">
        <v>82</v>
      </c>
      <c r="C57" s="13" t="s">
        <v>81</v>
      </c>
      <c r="D57" s="108">
        <v>0</v>
      </c>
      <c r="E57" s="108"/>
      <c r="F57" s="108"/>
      <c r="G57" s="108"/>
      <c r="H57" s="108"/>
      <c r="I57" s="108"/>
    </row>
    <row r="58" spans="1:10" ht="15.75" collapsed="1">
      <c r="A58" s="298" t="s">
        <v>83</v>
      </c>
      <c r="B58" s="298"/>
      <c r="C58" s="298"/>
      <c r="D58" s="298"/>
      <c r="E58" s="298"/>
      <c r="F58" s="298"/>
      <c r="G58" s="298"/>
      <c r="H58" s="298"/>
      <c r="I58" s="298"/>
    </row>
    <row r="59" spans="1:10" ht="15.75">
      <c r="A59" s="2" t="s">
        <v>84</v>
      </c>
      <c r="B59" s="12" t="s">
        <v>85</v>
      </c>
      <c r="C59" s="13" t="s">
        <v>86</v>
      </c>
      <c r="D59" s="109">
        <v>6314</v>
      </c>
      <c r="E59" s="110">
        <v>6055</v>
      </c>
      <c r="F59" s="28">
        <f>ROUND(E59/D59*100,1)</f>
        <v>95.9</v>
      </c>
      <c r="G59" s="28">
        <f>E59-D59</f>
        <v>-259</v>
      </c>
      <c r="H59" s="86">
        <v>5910</v>
      </c>
      <c r="I59" s="28">
        <f t="shared" ref="I59:I65" si="6">IF(H59&gt;0,ROUND(E59/H59*100,1),0)</f>
        <v>102.5</v>
      </c>
      <c r="J59" t="s">
        <v>87</v>
      </c>
    </row>
    <row r="60" spans="1:10" ht="31.5" hidden="1" outlineLevel="1">
      <c r="A60" s="2" t="s">
        <v>88</v>
      </c>
      <c r="B60" s="12" t="s">
        <v>89</v>
      </c>
      <c r="C60" s="13" t="s">
        <v>90</v>
      </c>
      <c r="D60" s="99"/>
      <c r="E60" s="97"/>
      <c r="F60" s="28" t="e">
        <f>ROUND(E60/D60*100,1)</f>
        <v>#DIV/0!</v>
      </c>
      <c r="G60" s="28"/>
      <c r="H60" s="86"/>
      <c r="I60" s="28">
        <f t="shared" si="6"/>
        <v>0</v>
      </c>
    </row>
    <row r="61" spans="1:10" ht="15.75" collapsed="1">
      <c r="A61" s="2" t="s">
        <v>91</v>
      </c>
      <c r="B61" s="12" t="s">
        <v>92</v>
      </c>
      <c r="C61" s="17" t="s">
        <v>37</v>
      </c>
      <c r="D61" s="111">
        <v>254025.3</v>
      </c>
      <c r="E61" s="112">
        <v>203069.3</v>
      </c>
      <c r="F61" s="28">
        <f>ROUND(E61/D61*100,1)</f>
        <v>79.900000000000006</v>
      </c>
      <c r="G61" s="28">
        <f>E61-D61</f>
        <v>-50956</v>
      </c>
      <c r="H61" s="86">
        <v>158900</v>
      </c>
      <c r="I61" s="28">
        <f t="shared" si="6"/>
        <v>127.8</v>
      </c>
      <c r="J61" t="s">
        <v>87</v>
      </c>
    </row>
    <row r="62" spans="1:10" ht="15.75">
      <c r="A62" s="2" t="s">
        <v>93</v>
      </c>
      <c r="B62" s="12" t="s">
        <v>94</v>
      </c>
      <c r="C62" s="13" t="s">
        <v>95</v>
      </c>
      <c r="D62" s="99">
        <v>3352.7</v>
      </c>
      <c r="E62" s="97">
        <v>2788.6</v>
      </c>
      <c r="F62" s="28">
        <f>ROUND(E62/D62*100,1)</f>
        <v>83.2</v>
      </c>
      <c r="G62" s="28">
        <f>E62-D62</f>
        <v>-564.09999999999991</v>
      </c>
      <c r="H62" s="86">
        <v>2235.4</v>
      </c>
      <c r="I62" s="28">
        <f t="shared" si="6"/>
        <v>124.7</v>
      </c>
      <c r="J62" t="s">
        <v>87</v>
      </c>
    </row>
    <row r="63" spans="1:10" ht="15.75">
      <c r="A63" s="2" t="s">
        <v>96</v>
      </c>
      <c r="B63" s="162" t="s">
        <v>97</v>
      </c>
      <c r="C63" s="17" t="s">
        <v>37</v>
      </c>
      <c r="D63" s="91"/>
      <c r="E63" s="14">
        <v>1192285</v>
      </c>
      <c r="F63" s="28"/>
      <c r="G63" s="9"/>
      <c r="H63" s="86">
        <v>1100739</v>
      </c>
      <c r="I63" s="9">
        <f t="shared" si="6"/>
        <v>108.3</v>
      </c>
      <c r="J63" t="s">
        <v>58</v>
      </c>
    </row>
    <row r="64" spans="1:10" ht="15.75" hidden="1" outlineLevel="1">
      <c r="A64" s="2" t="s">
        <v>98</v>
      </c>
      <c r="B64" s="12" t="s">
        <v>99</v>
      </c>
      <c r="C64" s="13" t="s">
        <v>37</v>
      </c>
      <c r="D64" s="113"/>
      <c r="E64" s="114"/>
      <c r="F64" s="115"/>
      <c r="G64" s="113"/>
      <c r="H64" s="86"/>
      <c r="I64" s="115">
        <f t="shared" si="6"/>
        <v>0</v>
      </c>
      <c r="J64" s="31"/>
    </row>
    <row r="65" spans="1:13" ht="15.75" collapsed="1">
      <c r="A65" s="2" t="s">
        <v>100</v>
      </c>
      <c r="B65" s="12" t="s">
        <v>101</v>
      </c>
      <c r="C65" s="13" t="s">
        <v>102</v>
      </c>
      <c r="D65" s="116">
        <v>138574</v>
      </c>
      <c r="E65" s="117">
        <v>142485.34</v>
      </c>
      <c r="F65" s="28">
        <f>ROUND(E65/D65*100,1)</f>
        <v>102.8</v>
      </c>
      <c r="G65" s="28">
        <f>E65-D65</f>
        <v>3911.3399999999965</v>
      </c>
      <c r="H65" s="86">
        <v>125113.86</v>
      </c>
      <c r="I65" s="28">
        <f t="shared" si="6"/>
        <v>113.9</v>
      </c>
      <c r="J65" t="s">
        <v>103</v>
      </c>
    </row>
    <row r="66" spans="1:13" ht="15.75" hidden="1" outlineLevel="1">
      <c r="A66" s="2"/>
      <c r="B66" s="2" t="s">
        <v>12</v>
      </c>
      <c r="C66" s="13"/>
      <c r="D66" s="105"/>
      <c r="E66" s="105"/>
      <c r="F66" s="105"/>
      <c r="G66" s="105"/>
      <c r="H66" s="105"/>
      <c r="I66" s="105"/>
    </row>
    <row r="67" spans="1:13" ht="15.75" hidden="1" outlineLevel="1">
      <c r="A67" s="2"/>
      <c r="B67" s="12" t="s">
        <v>104</v>
      </c>
      <c r="C67" s="13" t="s">
        <v>102</v>
      </c>
      <c r="D67" s="105"/>
      <c r="E67" s="105"/>
      <c r="F67" s="105" t="e">
        <f>ROUND(E67/D67*100,1)</f>
        <v>#DIV/0!</v>
      </c>
      <c r="G67" s="105">
        <f>E67-D67</f>
        <v>0</v>
      </c>
      <c r="H67" s="105"/>
      <c r="I67" s="105" t="e">
        <f>ROUND(E67/H67*100,1)</f>
        <v>#DIV/0!</v>
      </c>
    </row>
    <row r="68" spans="1:13" ht="15.75" hidden="1" outlineLevel="1">
      <c r="A68" s="2"/>
      <c r="B68" s="12" t="s">
        <v>105</v>
      </c>
      <c r="C68" s="13" t="s">
        <v>102</v>
      </c>
      <c r="D68" s="105"/>
      <c r="E68" s="105"/>
      <c r="F68" s="105" t="e">
        <f>ROUND(E68/D68*100,1)</f>
        <v>#DIV/0!</v>
      </c>
      <c r="G68" s="105">
        <f>E68-D68</f>
        <v>0</v>
      </c>
      <c r="H68" s="105"/>
      <c r="I68" s="105" t="e">
        <f>ROUND(E68/H68*100,1)</f>
        <v>#DIV/0!</v>
      </c>
    </row>
    <row r="69" spans="1:13" s="32" customFormat="1" ht="15.75" collapsed="1">
      <c r="A69" s="298" t="s">
        <v>106</v>
      </c>
      <c r="B69" s="298"/>
      <c r="C69" s="298"/>
      <c r="D69" s="298"/>
      <c r="E69" s="298"/>
      <c r="F69" s="298"/>
      <c r="G69" s="298"/>
      <c r="H69" s="298"/>
      <c r="I69" s="298"/>
    </row>
    <row r="70" spans="1:13" ht="15.75">
      <c r="A70" s="2" t="s">
        <v>107</v>
      </c>
      <c r="B70" s="12" t="s">
        <v>108</v>
      </c>
      <c r="C70" s="17" t="s">
        <v>37</v>
      </c>
      <c r="D70" s="99">
        <v>808021.9</v>
      </c>
      <c r="E70" s="14">
        <v>690930.3</v>
      </c>
      <c r="F70" s="9">
        <f>ROUND(E70/D70*100,1)</f>
        <v>85.5</v>
      </c>
      <c r="G70" s="9">
        <f>E70-D70</f>
        <v>-117091.59999999998</v>
      </c>
      <c r="H70" s="86">
        <v>485107.9</v>
      </c>
      <c r="I70" s="9">
        <f t="shared" ref="I70:I89" si="7">IF(H70&gt;0,ROUND(E70/H70*100,1),0)</f>
        <v>142.4</v>
      </c>
      <c r="J70" t="s">
        <v>103</v>
      </c>
      <c r="M70">
        <f>1759313-152984-76292-1017231</f>
        <v>512806</v>
      </c>
    </row>
    <row r="71" spans="1:13" ht="15.75">
      <c r="A71" s="2" t="s">
        <v>109</v>
      </c>
      <c r="B71" s="12" t="s">
        <v>110</v>
      </c>
      <c r="C71" s="17" t="s">
        <v>37</v>
      </c>
      <c r="D71" s="99">
        <v>585523.4</v>
      </c>
      <c r="E71" s="14">
        <v>554905.9</v>
      </c>
      <c r="F71" s="9">
        <f t="shared" ref="F71:F95" si="8">ROUND(E71/D71*100,1)</f>
        <v>94.8</v>
      </c>
      <c r="G71" s="9">
        <f t="shared" ref="G71:G96" si="9">E71-D71</f>
        <v>-30617.5</v>
      </c>
      <c r="H71" s="86">
        <v>361228.1</v>
      </c>
      <c r="I71" s="9">
        <f t="shared" si="7"/>
        <v>153.6</v>
      </c>
      <c r="J71" t="s">
        <v>103</v>
      </c>
    </row>
    <row r="72" spans="1:13" ht="15.75">
      <c r="A72" s="2" t="s">
        <v>111</v>
      </c>
      <c r="B72" s="12" t="s">
        <v>112</v>
      </c>
      <c r="C72" s="17" t="s">
        <v>37</v>
      </c>
      <c r="D72" s="33">
        <f>D70-D71</f>
        <v>222498.5</v>
      </c>
      <c r="E72" s="34">
        <f>E70-E71</f>
        <v>136024.40000000002</v>
      </c>
      <c r="F72" s="7">
        <f t="shared" si="8"/>
        <v>61.1</v>
      </c>
      <c r="G72" s="9">
        <f t="shared" si="9"/>
        <v>-86474.099999999977</v>
      </c>
      <c r="H72" s="18">
        <f>H70-H71</f>
        <v>123879.80000000005</v>
      </c>
      <c r="I72" s="7">
        <f t="shared" si="7"/>
        <v>109.8</v>
      </c>
      <c r="J72" t="s">
        <v>103</v>
      </c>
      <c r="M72" s="11">
        <f>D72-D73</f>
        <v>104272.8</v>
      </c>
    </row>
    <row r="73" spans="1:13" ht="15.75">
      <c r="A73" s="2"/>
      <c r="B73" s="3" t="s">
        <v>113</v>
      </c>
      <c r="C73" s="17" t="s">
        <v>37</v>
      </c>
      <c r="D73" s="26">
        <f>D74+D75+D76</f>
        <v>118225.7</v>
      </c>
      <c r="E73" s="6">
        <f>E74+E75+E76</f>
        <v>190151.6</v>
      </c>
      <c r="F73" s="10">
        <f t="shared" si="8"/>
        <v>160.80000000000001</v>
      </c>
      <c r="G73" s="10">
        <f t="shared" si="9"/>
        <v>71925.900000000009</v>
      </c>
      <c r="H73" s="118">
        <f>H74+H75+H76</f>
        <v>121814.5</v>
      </c>
      <c r="I73" s="10">
        <f t="shared" si="7"/>
        <v>156.1</v>
      </c>
      <c r="J73" t="s">
        <v>103</v>
      </c>
      <c r="M73" s="11">
        <f>M72+D77</f>
        <v>104272.8</v>
      </c>
    </row>
    <row r="74" spans="1:13" ht="15.75">
      <c r="A74" s="2"/>
      <c r="B74" s="119" t="s">
        <v>114</v>
      </c>
      <c r="C74" s="17" t="s">
        <v>37</v>
      </c>
      <c r="D74" s="99">
        <v>4783.5</v>
      </c>
      <c r="E74" s="88">
        <v>30401.8</v>
      </c>
      <c r="F74" s="7">
        <f t="shared" si="8"/>
        <v>635.6</v>
      </c>
      <c r="G74" s="9">
        <f t="shared" si="9"/>
        <v>25618.3</v>
      </c>
      <c r="H74" s="86">
        <v>8296.4</v>
      </c>
      <c r="I74" s="7">
        <f t="shared" si="7"/>
        <v>366.4</v>
      </c>
      <c r="J74" t="s">
        <v>103</v>
      </c>
    </row>
    <row r="75" spans="1:13" ht="15.75">
      <c r="A75" s="2"/>
      <c r="B75" s="119" t="s">
        <v>115</v>
      </c>
      <c r="C75" s="17" t="s">
        <v>37</v>
      </c>
      <c r="D75" s="99">
        <v>48702.5</v>
      </c>
      <c r="E75" s="88">
        <v>46496</v>
      </c>
      <c r="F75" s="9">
        <f t="shared" si="8"/>
        <v>95.5</v>
      </c>
      <c r="G75" s="9">
        <f t="shared" si="9"/>
        <v>-2206.5</v>
      </c>
      <c r="H75" s="86">
        <v>24029.9</v>
      </c>
      <c r="I75" s="9">
        <f t="shared" si="7"/>
        <v>193.5</v>
      </c>
      <c r="J75" t="s">
        <v>103</v>
      </c>
    </row>
    <row r="76" spans="1:13" ht="15.75">
      <c r="A76" s="2"/>
      <c r="B76" s="119" t="s">
        <v>116</v>
      </c>
      <c r="C76" s="17" t="s">
        <v>37</v>
      </c>
      <c r="D76" s="99">
        <v>64739.7</v>
      </c>
      <c r="E76" s="88">
        <v>113253.8</v>
      </c>
      <c r="F76" s="9">
        <f t="shared" si="8"/>
        <v>174.9</v>
      </c>
      <c r="G76" s="9">
        <f t="shared" si="9"/>
        <v>48514.100000000006</v>
      </c>
      <c r="H76" s="86">
        <v>89488.2</v>
      </c>
      <c r="I76" s="9">
        <f t="shared" si="7"/>
        <v>126.6</v>
      </c>
      <c r="J76" t="s">
        <v>103</v>
      </c>
    </row>
    <row r="77" spans="1:13" ht="15.75">
      <c r="A77" s="2"/>
      <c r="B77" s="12" t="s">
        <v>117</v>
      </c>
      <c r="C77" s="17" t="s">
        <v>37</v>
      </c>
      <c r="D77" s="116"/>
      <c r="E77" s="14"/>
      <c r="F77" s="9"/>
      <c r="G77" s="9">
        <f t="shared" si="9"/>
        <v>0</v>
      </c>
      <c r="H77" s="86">
        <v>177003.6</v>
      </c>
      <c r="I77" s="9">
        <f t="shared" si="7"/>
        <v>0</v>
      </c>
      <c r="J77" t="s">
        <v>103</v>
      </c>
    </row>
    <row r="78" spans="1:13" ht="15.75">
      <c r="A78" s="2"/>
      <c r="B78" s="12" t="s">
        <v>118</v>
      </c>
      <c r="C78" s="17" t="s">
        <v>37</v>
      </c>
      <c r="D78" s="99">
        <v>104000</v>
      </c>
      <c r="E78" s="14">
        <v>129684.3</v>
      </c>
      <c r="F78" s="9">
        <f t="shared" si="8"/>
        <v>124.7</v>
      </c>
      <c r="G78" s="9">
        <f t="shared" si="9"/>
        <v>25684.300000000003</v>
      </c>
      <c r="H78" s="86">
        <v>258814</v>
      </c>
      <c r="I78" s="9">
        <f t="shared" si="7"/>
        <v>50.1</v>
      </c>
      <c r="J78" t="s">
        <v>103</v>
      </c>
    </row>
    <row r="79" spans="1:13" ht="15.75" hidden="1" outlineLevel="1">
      <c r="A79" s="2"/>
      <c r="B79" s="12" t="s">
        <v>119</v>
      </c>
      <c r="C79" s="17" t="s">
        <v>37</v>
      </c>
      <c r="D79" s="111"/>
      <c r="E79" s="88"/>
      <c r="F79" s="9" t="e">
        <f t="shared" si="8"/>
        <v>#DIV/0!</v>
      </c>
      <c r="G79" s="9">
        <f t="shared" si="9"/>
        <v>0</v>
      </c>
      <c r="H79" s="120"/>
      <c r="I79" s="9">
        <f t="shared" si="7"/>
        <v>0</v>
      </c>
    </row>
    <row r="80" spans="1:13" ht="15.75" hidden="1" outlineLevel="1">
      <c r="A80" s="2"/>
      <c r="B80" s="12" t="s">
        <v>120</v>
      </c>
      <c r="C80" s="17" t="s">
        <v>37</v>
      </c>
      <c r="D80" s="111"/>
      <c r="E80" s="88"/>
      <c r="F80" s="9" t="e">
        <f t="shared" si="8"/>
        <v>#DIV/0!</v>
      </c>
      <c r="G80" s="9">
        <f t="shared" si="9"/>
        <v>0</v>
      </c>
      <c r="H80" s="120"/>
      <c r="I80" s="9">
        <f t="shared" si="7"/>
        <v>0</v>
      </c>
    </row>
    <row r="81" spans="1:10" ht="15.75" hidden="1" outlineLevel="1">
      <c r="A81" s="2"/>
      <c r="B81" s="12" t="s">
        <v>121</v>
      </c>
      <c r="C81" s="17" t="s">
        <v>37</v>
      </c>
      <c r="D81" s="111"/>
      <c r="E81" s="88"/>
      <c r="F81" s="9" t="e">
        <f t="shared" si="8"/>
        <v>#DIV/0!</v>
      </c>
      <c r="G81" s="9">
        <f t="shared" si="9"/>
        <v>0</v>
      </c>
      <c r="H81" s="120"/>
      <c r="I81" s="9">
        <f t="shared" si="7"/>
        <v>0</v>
      </c>
    </row>
    <row r="82" spans="1:10" ht="15.75" hidden="1" outlineLevel="1">
      <c r="A82" s="2"/>
      <c r="B82" s="12" t="s">
        <v>122</v>
      </c>
      <c r="C82" s="17" t="s">
        <v>37</v>
      </c>
      <c r="D82" s="111"/>
      <c r="E82" s="88"/>
      <c r="F82" s="9" t="e">
        <f t="shared" si="8"/>
        <v>#DIV/0!</v>
      </c>
      <c r="G82" s="9">
        <f t="shared" si="9"/>
        <v>0</v>
      </c>
      <c r="H82" s="120"/>
      <c r="I82" s="9">
        <f t="shared" si="7"/>
        <v>0</v>
      </c>
    </row>
    <row r="83" spans="1:10" ht="15.75" hidden="1" outlineLevel="1">
      <c r="A83" s="2"/>
      <c r="B83" s="12" t="s">
        <v>123</v>
      </c>
      <c r="C83" s="17" t="s">
        <v>37</v>
      </c>
      <c r="D83" s="111"/>
      <c r="E83" s="88"/>
      <c r="F83" s="9" t="e">
        <f t="shared" si="8"/>
        <v>#DIV/0!</v>
      </c>
      <c r="G83" s="9">
        <f t="shared" si="9"/>
        <v>0</v>
      </c>
      <c r="H83" s="120"/>
      <c r="I83" s="9">
        <f t="shared" si="7"/>
        <v>0</v>
      </c>
    </row>
    <row r="84" spans="1:10" ht="15.75" hidden="1" outlineLevel="1">
      <c r="A84" s="2"/>
      <c r="B84" s="12" t="s">
        <v>121</v>
      </c>
      <c r="C84" s="17" t="s">
        <v>37</v>
      </c>
      <c r="D84" s="111"/>
      <c r="E84" s="88"/>
      <c r="F84" s="9" t="e">
        <f t="shared" si="8"/>
        <v>#DIV/0!</v>
      </c>
      <c r="G84" s="9">
        <f t="shared" si="9"/>
        <v>0</v>
      </c>
      <c r="H84" s="120"/>
      <c r="I84" s="9">
        <f t="shared" si="7"/>
        <v>0</v>
      </c>
    </row>
    <row r="85" spans="1:10" ht="15.75" hidden="1" outlineLevel="1">
      <c r="A85" s="2"/>
      <c r="B85" s="12" t="s">
        <v>122</v>
      </c>
      <c r="C85" s="17" t="s">
        <v>37</v>
      </c>
      <c r="D85" s="111"/>
      <c r="E85" s="88"/>
      <c r="F85" s="9" t="e">
        <f t="shared" si="8"/>
        <v>#DIV/0!</v>
      </c>
      <c r="G85" s="9">
        <f t="shared" si="9"/>
        <v>0</v>
      </c>
      <c r="H85" s="120"/>
      <c r="I85" s="9">
        <f t="shared" si="7"/>
        <v>0</v>
      </c>
    </row>
    <row r="86" spans="1:10" ht="15.75" hidden="1" outlineLevel="1" collapsed="1">
      <c r="A86" s="2"/>
      <c r="B86" s="12" t="s">
        <v>124</v>
      </c>
      <c r="C86" s="17" t="s">
        <v>37</v>
      </c>
      <c r="D86" s="99"/>
      <c r="E86" s="88"/>
      <c r="F86" s="9" t="e">
        <f t="shared" si="8"/>
        <v>#DIV/0!</v>
      </c>
      <c r="G86" s="9">
        <f t="shared" si="9"/>
        <v>0</v>
      </c>
      <c r="H86" s="120"/>
      <c r="I86" s="9">
        <f t="shared" si="7"/>
        <v>0</v>
      </c>
    </row>
    <row r="87" spans="1:10" ht="15.75" hidden="1" outlineLevel="1">
      <c r="A87" s="2"/>
      <c r="B87" s="12" t="s">
        <v>121</v>
      </c>
      <c r="C87" s="17" t="s">
        <v>37</v>
      </c>
      <c r="D87" s="99"/>
      <c r="E87" s="88"/>
      <c r="F87" s="9" t="e">
        <f t="shared" si="8"/>
        <v>#DIV/0!</v>
      </c>
      <c r="G87" s="9">
        <f t="shared" si="9"/>
        <v>0</v>
      </c>
      <c r="H87" s="120"/>
      <c r="I87" s="9">
        <f t="shared" si="7"/>
        <v>0</v>
      </c>
    </row>
    <row r="88" spans="1:10" ht="15.75" hidden="1" outlineLevel="1">
      <c r="A88" s="2"/>
      <c r="B88" s="12" t="s">
        <v>122</v>
      </c>
      <c r="C88" s="17" t="s">
        <v>37</v>
      </c>
      <c r="D88" s="111"/>
      <c r="E88" s="88"/>
      <c r="F88" s="9" t="e">
        <f t="shared" si="8"/>
        <v>#DIV/0!</v>
      </c>
      <c r="G88" s="9">
        <f t="shared" si="9"/>
        <v>0</v>
      </c>
      <c r="H88" s="120"/>
      <c r="I88" s="9">
        <f t="shared" si="7"/>
        <v>0</v>
      </c>
    </row>
    <row r="89" spans="1:10" ht="15.75" collapsed="1">
      <c r="A89" s="2"/>
      <c r="B89" s="12" t="s">
        <v>125</v>
      </c>
      <c r="C89" s="17" t="s">
        <v>37</v>
      </c>
      <c r="D89" s="26">
        <f>D72-D73+D77-D78</f>
        <v>272.80000000000291</v>
      </c>
      <c r="E89" s="26">
        <f>E72-E73+E77-E78</f>
        <v>-183811.5</v>
      </c>
      <c r="F89" s="10">
        <f>ROUND(E89/D89*100,1)</f>
        <v>-67379.600000000006</v>
      </c>
      <c r="G89" s="10">
        <f t="shared" si="9"/>
        <v>-184084.3</v>
      </c>
      <c r="H89" s="10">
        <f>H72-H73+H77-H78</f>
        <v>-79745.099999999948</v>
      </c>
      <c r="I89" s="10">
        <f t="shared" si="7"/>
        <v>0</v>
      </c>
      <c r="J89" t="s">
        <v>103</v>
      </c>
    </row>
    <row r="90" spans="1:10" ht="17.25" hidden="1" customHeight="1" outlineLevel="1">
      <c r="A90" s="2"/>
      <c r="B90" s="12" t="s">
        <v>126</v>
      </c>
      <c r="C90" s="17" t="s">
        <v>37</v>
      </c>
      <c r="D90" s="99"/>
      <c r="E90" s="14"/>
      <c r="F90" s="9"/>
      <c r="G90" s="9">
        <f t="shared" si="9"/>
        <v>0</v>
      </c>
      <c r="H90" s="121"/>
      <c r="I90" s="9" t="e">
        <f t="shared" ref="I90" si="10">ROUND(E90/H90*100,1)</f>
        <v>#DIV/0!</v>
      </c>
      <c r="J90" t="s">
        <v>103</v>
      </c>
    </row>
    <row r="91" spans="1:10" ht="17.25" hidden="1" customHeight="1" outlineLevel="1">
      <c r="A91" s="2"/>
      <c r="B91" s="12" t="s">
        <v>127</v>
      </c>
      <c r="C91" s="17" t="s">
        <v>37</v>
      </c>
      <c r="D91" s="111"/>
      <c r="E91" s="88"/>
      <c r="F91" s="9"/>
      <c r="G91" s="9">
        <f t="shared" si="9"/>
        <v>0</v>
      </c>
      <c r="H91" s="122"/>
      <c r="I91" s="9"/>
    </row>
    <row r="92" spans="1:10" ht="15.75" collapsed="1">
      <c r="A92" s="2"/>
      <c r="B92" s="12" t="s">
        <v>128</v>
      </c>
      <c r="C92" s="17" t="s">
        <v>37</v>
      </c>
      <c r="D92" s="111">
        <v>1666</v>
      </c>
      <c r="E92" s="88"/>
      <c r="F92" s="9">
        <v>0</v>
      </c>
      <c r="G92" s="9">
        <f t="shared" si="9"/>
        <v>-1666</v>
      </c>
      <c r="H92" s="86"/>
      <c r="I92" s="9">
        <f t="shared" ref="I92:I152" si="11">IF(H92&gt;0,ROUND(E92/H92*100,1),0)</f>
        <v>0</v>
      </c>
      <c r="J92" t="s">
        <v>103</v>
      </c>
    </row>
    <row r="93" spans="1:10" ht="17.25" customHeight="1">
      <c r="A93" s="2"/>
      <c r="B93" s="12" t="s">
        <v>129</v>
      </c>
      <c r="C93" s="17" t="s">
        <v>37</v>
      </c>
      <c r="D93" s="111">
        <f>D92*12%</f>
        <v>199.92</v>
      </c>
      <c r="E93" s="88"/>
      <c r="F93" s="9">
        <v>0</v>
      </c>
      <c r="G93" s="9">
        <f t="shared" si="9"/>
        <v>-199.92</v>
      </c>
      <c r="H93" s="86"/>
      <c r="I93" s="9">
        <f t="shared" si="11"/>
        <v>0</v>
      </c>
      <c r="J93" t="s">
        <v>103</v>
      </c>
    </row>
    <row r="94" spans="1:10" ht="15.75" hidden="1" outlineLevel="1">
      <c r="A94" s="2"/>
      <c r="B94" s="12" t="s">
        <v>130</v>
      </c>
      <c r="C94" s="17" t="s">
        <v>37</v>
      </c>
      <c r="D94" s="111">
        <v>0</v>
      </c>
      <c r="E94" s="88">
        <v>0</v>
      </c>
      <c r="F94" s="9"/>
      <c r="G94" s="9">
        <f t="shared" si="9"/>
        <v>0</v>
      </c>
      <c r="H94" s="86"/>
      <c r="I94" s="9">
        <f t="shared" si="11"/>
        <v>0</v>
      </c>
      <c r="J94" t="s">
        <v>103</v>
      </c>
    </row>
    <row r="95" spans="1:10" ht="15.75" hidden="1" outlineLevel="1">
      <c r="A95" s="2"/>
      <c r="B95" s="12" t="s">
        <v>131</v>
      </c>
      <c r="C95" s="17" t="s">
        <v>37</v>
      </c>
      <c r="D95" s="111"/>
      <c r="E95" s="88"/>
      <c r="F95" s="9" t="e">
        <f t="shared" si="8"/>
        <v>#DIV/0!</v>
      </c>
      <c r="G95" s="9">
        <f t="shared" si="9"/>
        <v>0</v>
      </c>
      <c r="H95" s="86"/>
      <c r="I95" s="9">
        <f t="shared" si="11"/>
        <v>0</v>
      </c>
    </row>
    <row r="96" spans="1:10" ht="15.75" collapsed="1">
      <c r="A96" s="2"/>
      <c r="B96" s="12" t="s">
        <v>132</v>
      </c>
      <c r="C96" s="17" t="s">
        <v>37</v>
      </c>
      <c r="D96" s="33">
        <f>D89-D93-D94</f>
        <v>72.880000000002923</v>
      </c>
      <c r="E96" s="34">
        <f>E89-E93-E94</f>
        <v>-183811.5</v>
      </c>
      <c r="F96" s="9">
        <f>ROUND(E96/D96*100,1)</f>
        <v>-252211.20000000001</v>
      </c>
      <c r="G96" s="9">
        <f t="shared" si="9"/>
        <v>-183884.38</v>
      </c>
      <c r="H96" s="86">
        <f>H89</f>
        <v>-79745.099999999948</v>
      </c>
      <c r="I96" s="9">
        <f t="shared" si="11"/>
        <v>0</v>
      </c>
      <c r="J96" t="s">
        <v>103</v>
      </c>
    </row>
    <row r="97" spans="1:12" ht="15.75" hidden="1" outlineLevel="1">
      <c r="A97" s="2"/>
      <c r="B97" s="123" t="s">
        <v>133</v>
      </c>
      <c r="C97" s="17" t="s">
        <v>37</v>
      </c>
      <c r="D97" s="124"/>
      <c r="E97" s="125"/>
      <c r="F97" s="126"/>
      <c r="G97" s="126"/>
      <c r="H97" s="102"/>
      <c r="I97" s="126">
        <f t="shared" si="11"/>
        <v>0</v>
      </c>
    </row>
    <row r="98" spans="1:12" ht="15.75" hidden="1" outlineLevel="1">
      <c r="A98" s="2"/>
      <c r="B98" s="12" t="s">
        <v>134</v>
      </c>
      <c r="C98" s="17" t="s">
        <v>37</v>
      </c>
      <c r="D98" s="87"/>
      <c r="E98" s="14"/>
      <c r="F98" s="9">
        <f>IF(E98&gt;0,ROUND(E98/D98*100,1),0)</f>
        <v>0</v>
      </c>
      <c r="G98" s="9">
        <f>E98-D98</f>
        <v>0</v>
      </c>
      <c r="H98" s="102"/>
      <c r="I98" s="7">
        <f t="shared" si="11"/>
        <v>0</v>
      </c>
    </row>
    <row r="99" spans="1:12" ht="16.5" hidden="1" customHeight="1" outlineLevel="1">
      <c r="A99" s="2"/>
      <c r="B99" s="12" t="s">
        <v>135</v>
      </c>
      <c r="C99" s="17" t="s">
        <v>37</v>
      </c>
      <c r="D99" s="87"/>
      <c r="E99" s="14"/>
      <c r="F99" s="7"/>
      <c r="G99" s="7"/>
      <c r="H99" s="102"/>
      <c r="I99" s="7">
        <f t="shared" si="11"/>
        <v>0</v>
      </c>
    </row>
    <row r="100" spans="1:12" ht="16.5" hidden="1" customHeight="1" outlineLevel="1">
      <c r="A100" s="127"/>
      <c r="B100" s="128" t="s">
        <v>119</v>
      </c>
      <c r="C100" s="17" t="s">
        <v>37</v>
      </c>
      <c r="D100" s="129">
        <v>0</v>
      </c>
      <c r="E100" s="130"/>
      <c r="F100" s="131"/>
      <c r="G100" s="131"/>
      <c r="H100" s="132"/>
      <c r="I100" s="131">
        <f t="shared" si="11"/>
        <v>0</v>
      </c>
    </row>
    <row r="101" spans="1:12" ht="15.75" collapsed="1">
      <c r="A101" s="2" t="s">
        <v>136</v>
      </c>
      <c r="B101" s="3" t="s">
        <v>137</v>
      </c>
      <c r="C101" s="17" t="s">
        <v>37</v>
      </c>
      <c r="D101" s="87"/>
      <c r="E101" s="88"/>
      <c r="F101" s="9"/>
      <c r="G101" s="9"/>
      <c r="H101" s="7"/>
      <c r="I101" s="9">
        <f t="shared" si="11"/>
        <v>0</v>
      </c>
    </row>
    <row r="102" spans="1:12" ht="15.75">
      <c r="A102" s="2"/>
      <c r="B102" s="8" t="s">
        <v>138</v>
      </c>
      <c r="C102" s="17" t="s">
        <v>37</v>
      </c>
      <c r="D102" s="6">
        <f>D103+D104+D105+D106+D107</f>
        <v>150118.62</v>
      </c>
      <c r="E102" s="133">
        <f>E103+E104+E105+E106+E107</f>
        <v>162554.88799999998</v>
      </c>
      <c r="F102" s="10">
        <f>ROUND(E102/D102*100,1)</f>
        <v>108.3</v>
      </c>
      <c r="G102" s="10">
        <f>E102-D102</f>
        <v>12436.267999999982</v>
      </c>
      <c r="H102" s="10">
        <f>H103+H104+H105+H106+H107</f>
        <v>33091.300000000003</v>
      </c>
      <c r="I102" s="10">
        <f t="shared" si="11"/>
        <v>491.2</v>
      </c>
      <c r="J102" s="11" t="s">
        <v>139</v>
      </c>
    </row>
    <row r="103" spans="1:12" ht="15.75">
      <c r="A103" s="2"/>
      <c r="B103" s="119" t="s">
        <v>140</v>
      </c>
      <c r="C103" s="17" t="s">
        <v>37</v>
      </c>
      <c r="D103" s="34">
        <f>D93</f>
        <v>199.92</v>
      </c>
      <c r="E103" s="88">
        <f>E93</f>
        <v>0</v>
      </c>
      <c r="F103" s="9">
        <f>ROUND(E103/D103*100,1)</f>
        <v>0</v>
      </c>
      <c r="G103" s="9">
        <f>E103-D103</f>
        <v>-199.92</v>
      </c>
      <c r="H103" s="86">
        <f>H93</f>
        <v>0</v>
      </c>
      <c r="I103" s="9">
        <f t="shared" si="11"/>
        <v>0</v>
      </c>
      <c r="J103" s="11" t="s">
        <v>139</v>
      </c>
    </row>
    <row r="104" spans="1:12" ht="17.25" customHeight="1">
      <c r="A104" s="2"/>
      <c r="B104" s="119" t="s">
        <v>141</v>
      </c>
      <c r="C104" s="17" t="s">
        <v>37</v>
      </c>
      <c r="D104" s="87"/>
      <c r="E104" s="88"/>
      <c r="F104" s="7"/>
      <c r="G104" s="7"/>
      <c r="H104" s="86"/>
      <c r="I104" s="9">
        <f t="shared" si="11"/>
        <v>0</v>
      </c>
      <c r="J104" s="11"/>
    </row>
    <row r="105" spans="1:12" ht="17.25" customHeight="1">
      <c r="A105" s="2"/>
      <c r="B105" s="134" t="s">
        <v>142</v>
      </c>
      <c r="C105" s="17" t="s">
        <v>37</v>
      </c>
      <c r="D105" s="34">
        <f>D94</f>
        <v>0</v>
      </c>
      <c r="E105" s="34">
        <f>E94</f>
        <v>0</v>
      </c>
      <c r="F105" s="9"/>
      <c r="G105" s="7">
        <f>E105-D105</f>
        <v>0</v>
      </c>
      <c r="H105" s="86">
        <v>0</v>
      </c>
      <c r="I105" s="9">
        <f t="shared" si="11"/>
        <v>0</v>
      </c>
      <c r="J105" s="11" t="s">
        <v>139</v>
      </c>
    </row>
    <row r="106" spans="1:12" ht="19.5" customHeight="1">
      <c r="A106" s="2"/>
      <c r="B106" s="119" t="s">
        <v>143</v>
      </c>
      <c r="C106" s="17" t="s">
        <v>37</v>
      </c>
      <c r="D106" s="91">
        <f>E106</f>
        <v>80647.199999999997</v>
      </c>
      <c r="E106" s="14">
        <v>80647.199999999997</v>
      </c>
      <c r="F106" s="9">
        <f>ROUND(E106/D106*100,1)</f>
        <v>100</v>
      </c>
      <c r="G106" s="135">
        <f>E106-D106</f>
        <v>0</v>
      </c>
      <c r="H106" s="86"/>
      <c r="I106" s="9">
        <f t="shared" si="11"/>
        <v>0</v>
      </c>
      <c r="J106" s="11" t="s">
        <v>139</v>
      </c>
    </row>
    <row r="107" spans="1:12" ht="20.25" customHeight="1">
      <c r="A107" s="2"/>
      <c r="B107" s="136" t="s">
        <v>144</v>
      </c>
      <c r="C107" s="17" t="s">
        <v>37</v>
      </c>
      <c r="D107" s="6">
        <f>SUM(D108:D113)</f>
        <v>69271.5</v>
      </c>
      <c r="E107" s="6">
        <f>SUM(E108:E113)</f>
        <v>81907.687999999995</v>
      </c>
      <c r="F107" s="10">
        <f>ROUND(E107/D107*100,1)</f>
        <v>118.2</v>
      </c>
      <c r="G107" s="10">
        <f>E107-D107</f>
        <v>12636.187999999995</v>
      </c>
      <c r="H107" s="10">
        <f>SUM(H108:H112)</f>
        <v>33091.300000000003</v>
      </c>
      <c r="I107" s="10">
        <f t="shared" si="11"/>
        <v>247.5</v>
      </c>
      <c r="J107" s="11" t="s">
        <v>139</v>
      </c>
    </row>
    <row r="108" spans="1:12" ht="15.75">
      <c r="A108" s="2"/>
      <c r="B108" s="137" t="s">
        <v>229</v>
      </c>
      <c r="C108" s="17" t="s">
        <v>37</v>
      </c>
      <c r="D108" s="87">
        <v>0</v>
      </c>
      <c r="E108" s="88"/>
      <c r="F108" s="7"/>
      <c r="G108" s="7"/>
      <c r="H108" s="86">
        <v>1440.3</v>
      </c>
      <c r="I108" s="7">
        <f t="shared" si="11"/>
        <v>0</v>
      </c>
    </row>
    <row r="109" spans="1:12" s="19" customFormat="1" ht="15.75">
      <c r="A109" s="15"/>
      <c r="B109" s="30" t="s">
        <v>146</v>
      </c>
      <c r="C109" s="17" t="s">
        <v>37</v>
      </c>
      <c r="D109" s="87">
        <v>2689.2</v>
      </c>
      <c r="E109" s="88">
        <v>5307.7</v>
      </c>
      <c r="F109" s="18">
        <f>ROUND(E109/D109*100,1)</f>
        <v>197.4</v>
      </c>
      <c r="G109" s="18">
        <f>E109-D109</f>
        <v>2618.5</v>
      </c>
      <c r="H109" s="86">
        <v>5475</v>
      </c>
      <c r="I109" s="34">
        <f t="shared" si="11"/>
        <v>96.9</v>
      </c>
      <c r="J109" s="11" t="s">
        <v>139</v>
      </c>
      <c r="K109"/>
      <c r="L109"/>
    </row>
    <row r="110" spans="1:12" ht="15.75">
      <c r="A110" s="2"/>
      <c r="B110" s="138" t="s">
        <v>147</v>
      </c>
      <c r="C110" s="17" t="s">
        <v>37</v>
      </c>
      <c r="D110" s="87">
        <v>533.5</v>
      </c>
      <c r="E110" s="88">
        <v>673.43600000000004</v>
      </c>
      <c r="F110" s="9">
        <f>ROUND(E110/D110*100,1)</f>
        <v>126.2</v>
      </c>
      <c r="G110" s="9">
        <f>E110-D110</f>
        <v>139.93600000000004</v>
      </c>
      <c r="H110" s="86">
        <v>591</v>
      </c>
      <c r="I110" s="7">
        <f t="shared" si="11"/>
        <v>113.9</v>
      </c>
      <c r="J110" s="11" t="s">
        <v>139</v>
      </c>
    </row>
    <row r="111" spans="1:12" ht="15.75">
      <c r="A111" s="2"/>
      <c r="B111" s="138" t="s">
        <v>148</v>
      </c>
      <c r="C111" s="17" t="s">
        <v>37</v>
      </c>
      <c r="D111" s="87">
        <v>5594.1</v>
      </c>
      <c r="E111" s="88">
        <v>7714.6</v>
      </c>
      <c r="F111" s="9">
        <f>ROUND(E111/D111*100,1)</f>
        <v>137.9</v>
      </c>
      <c r="G111" s="9">
        <f>E111-D111</f>
        <v>2120.5</v>
      </c>
      <c r="H111" s="86">
        <v>6693</v>
      </c>
      <c r="I111" s="7">
        <f t="shared" si="11"/>
        <v>115.3</v>
      </c>
      <c r="J111" s="11" t="s">
        <v>139</v>
      </c>
    </row>
    <row r="112" spans="1:12" ht="15.75">
      <c r="A112" s="2"/>
      <c r="B112" s="138" t="s">
        <v>149</v>
      </c>
      <c r="C112" s="17" t="s">
        <v>37</v>
      </c>
      <c r="D112" s="87">
        <v>25688.9</v>
      </c>
      <c r="E112" s="88">
        <v>26868.7</v>
      </c>
      <c r="F112" s="9">
        <f>ROUND(E112/D112*100,1)</f>
        <v>104.6</v>
      </c>
      <c r="G112" s="9">
        <f>E112-D112</f>
        <v>1179.7999999999993</v>
      </c>
      <c r="H112" s="86">
        <v>18892</v>
      </c>
      <c r="I112" s="7">
        <f t="shared" si="11"/>
        <v>142.19999999999999</v>
      </c>
      <c r="J112" s="11" t="s">
        <v>139</v>
      </c>
    </row>
    <row r="113" spans="1:13" ht="21" customHeight="1">
      <c r="A113" s="2"/>
      <c r="B113" s="139" t="s">
        <v>150</v>
      </c>
      <c r="C113" s="17" t="s">
        <v>37</v>
      </c>
      <c r="D113" s="6">
        <f>SUM(D115:D121)</f>
        <v>34765.800000000003</v>
      </c>
      <c r="E113" s="6">
        <f>SUM(E115:E121)</f>
        <v>41343.252</v>
      </c>
      <c r="F113" s="10">
        <f>ROUND(E113/D113*100,1)</f>
        <v>118.9</v>
      </c>
      <c r="G113" s="10">
        <f>E113-D113</f>
        <v>6577.4519999999975</v>
      </c>
      <c r="H113" s="10">
        <f>SUM(H115:H121)</f>
        <v>41647.4</v>
      </c>
      <c r="I113" s="10">
        <f t="shared" si="11"/>
        <v>99.3</v>
      </c>
      <c r="J113" s="11" t="s">
        <v>139</v>
      </c>
    </row>
    <row r="114" spans="1:13" ht="15.75">
      <c r="A114" s="2"/>
      <c r="B114" s="2" t="s">
        <v>12</v>
      </c>
      <c r="C114" s="17" t="s">
        <v>37</v>
      </c>
      <c r="D114" s="87"/>
      <c r="E114" s="88"/>
      <c r="F114" s="7"/>
      <c r="G114" s="7"/>
      <c r="H114" s="102"/>
      <c r="I114" s="7">
        <f t="shared" si="11"/>
        <v>0</v>
      </c>
    </row>
    <row r="115" spans="1:13" ht="21" hidden="1" customHeight="1" outlineLevel="1">
      <c r="A115" s="2"/>
      <c r="B115" s="140" t="s">
        <v>210</v>
      </c>
      <c r="C115" s="17" t="s">
        <v>37</v>
      </c>
      <c r="D115" s="91"/>
      <c r="E115" s="14"/>
      <c r="F115" s="9"/>
      <c r="G115" s="9">
        <f t="shared" ref="G115:G122" si="12">E115-D115</f>
        <v>0</v>
      </c>
      <c r="H115" s="86">
        <v>0</v>
      </c>
      <c r="I115" s="9">
        <f t="shared" si="11"/>
        <v>0</v>
      </c>
      <c r="J115" s="11" t="s">
        <v>139</v>
      </c>
    </row>
    <row r="116" spans="1:13" ht="30" hidden="1" customHeight="1" outlineLevel="1">
      <c r="A116" s="2"/>
      <c r="B116" s="140" t="s">
        <v>211</v>
      </c>
      <c r="C116" s="17" t="s">
        <v>37</v>
      </c>
      <c r="D116" s="91"/>
      <c r="E116" s="14"/>
      <c r="F116" s="9"/>
      <c r="G116" s="9">
        <f t="shared" si="12"/>
        <v>0</v>
      </c>
      <c r="H116" s="86">
        <v>0</v>
      </c>
      <c r="I116" s="9">
        <f t="shared" si="11"/>
        <v>0</v>
      </c>
      <c r="J116" s="11" t="s">
        <v>139</v>
      </c>
    </row>
    <row r="117" spans="1:13" ht="15.75" collapsed="1">
      <c r="A117" s="2"/>
      <c r="B117" s="140" t="s">
        <v>204</v>
      </c>
      <c r="C117" s="17" t="s">
        <v>37</v>
      </c>
      <c r="D117" s="18">
        <f>E117</f>
        <v>32901</v>
      </c>
      <c r="E117" s="18">
        <v>32901</v>
      </c>
      <c r="F117" s="9">
        <f>ROUND(E117/D117*100,1)</f>
        <v>100</v>
      </c>
      <c r="G117" s="9">
        <f t="shared" si="12"/>
        <v>0</v>
      </c>
      <c r="H117" s="86">
        <v>39656</v>
      </c>
      <c r="I117" s="9">
        <f t="shared" si="11"/>
        <v>83</v>
      </c>
      <c r="J117" s="11" t="s">
        <v>139</v>
      </c>
    </row>
    <row r="118" spans="1:13" ht="34.5" customHeight="1">
      <c r="A118" s="127"/>
      <c r="B118" s="2" t="e">
        <f>#REF!</f>
        <v>#REF!</v>
      </c>
      <c r="C118" s="17" t="s">
        <v>37</v>
      </c>
      <c r="D118" s="91">
        <f>944.8+920</f>
        <v>1864.8</v>
      </c>
      <c r="E118" s="141">
        <f>910+6373.752</f>
        <v>7283.7520000000004</v>
      </c>
      <c r="F118" s="9">
        <f>ROUND(E118/D118*100,1)</f>
        <v>390.6</v>
      </c>
      <c r="G118" s="35">
        <f>E118-D118</f>
        <v>5418.9520000000002</v>
      </c>
      <c r="H118" s="86">
        <v>1479</v>
      </c>
      <c r="I118" s="9">
        <f t="shared" si="11"/>
        <v>492.5</v>
      </c>
      <c r="J118" s="11" t="s">
        <v>139</v>
      </c>
    </row>
    <row r="119" spans="1:13" ht="36.75" hidden="1" customHeight="1" outlineLevel="1">
      <c r="A119" s="2"/>
      <c r="B119" s="2" t="s">
        <v>154</v>
      </c>
      <c r="C119" s="17" t="s">
        <v>37</v>
      </c>
      <c r="D119" s="91"/>
      <c r="E119" s="14"/>
      <c r="F119" s="9" t="e">
        <f t="shared" ref="F119:F120" si="13">ROUND(E119/D119*100,1)</f>
        <v>#DIV/0!</v>
      </c>
      <c r="G119" s="35">
        <f t="shared" si="12"/>
        <v>0</v>
      </c>
      <c r="H119" s="86"/>
      <c r="I119" s="9">
        <f t="shared" si="11"/>
        <v>0</v>
      </c>
      <c r="J119" s="11" t="s">
        <v>139</v>
      </c>
      <c r="M119">
        <f>15287.1+3820.2</f>
        <v>19107.3</v>
      </c>
    </row>
    <row r="120" spans="1:13" ht="36" hidden="1" customHeight="1" outlineLevel="1">
      <c r="A120" s="2"/>
      <c r="B120" s="2" t="s">
        <v>155</v>
      </c>
      <c r="C120" s="17" t="s">
        <v>37</v>
      </c>
      <c r="D120" s="18"/>
      <c r="E120" s="14"/>
      <c r="F120" s="9" t="e">
        <f t="shared" si="13"/>
        <v>#DIV/0!</v>
      </c>
      <c r="G120" s="18">
        <f t="shared" si="12"/>
        <v>0</v>
      </c>
      <c r="H120" s="86"/>
      <c r="I120" s="9">
        <f t="shared" si="11"/>
        <v>0</v>
      </c>
      <c r="J120" s="11" t="s">
        <v>139</v>
      </c>
    </row>
    <row r="121" spans="1:13" ht="24" customHeight="1" collapsed="1">
      <c r="A121" s="2"/>
      <c r="B121" s="150" t="s">
        <v>230</v>
      </c>
      <c r="C121" s="17" t="s">
        <v>37</v>
      </c>
      <c r="D121" s="91"/>
      <c r="E121" s="14">
        <f>865.3+293.2</f>
        <v>1158.5</v>
      </c>
      <c r="F121" s="9"/>
      <c r="G121" s="18">
        <f t="shared" si="12"/>
        <v>1158.5</v>
      </c>
      <c r="H121" s="86">
        <v>512.4</v>
      </c>
      <c r="I121" s="9">
        <f t="shared" si="11"/>
        <v>226.1</v>
      </c>
      <c r="J121" s="11"/>
    </row>
    <row r="122" spans="1:13" ht="15.75">
      <c r="A122" s="2"/>
      <c r="B122" s="3" t="s">
        <v>156</v>
      </c>
      <c r="C122" s="17" t="s">
        <v>37</v>
      </c>
      <c r="D122" s="6">
        <f>D102+D113</f>
        <v>184884.41999999998</v>
      </c>
      <c r="E122" s="6">
        <f>E102+E113</f>
        <v>203898.13999999998</v>
      </c>
      <c r="F122" s="10">
        <f>ROUND(E122/D122*100,1)</f>
        <v>110.3</v>
      </c>
      <c r="G122" s="10">
        <f t="shared" si="12"/>
        <v>19013.72</v>
      </c>
      <c r="H122" s="10">
        <f>H102+H113</f>
        <v>74738.700000000012</v>
      </c>
      <c r="I122" s="10">
        <f t="shared" si="11"/>
        <v>272.8</v>
      </c>
      <c r="J122" s="11" t="s">
        <v>139</v>
      </c>
    </row>
    <row r="123" spans="1:13" ht="15.75">
      <c r="A123" s="2" t="s">
        <v>157</v>
      </c>
      <c r="B123" s="3" t="s">
        <v>158</v>
      </c>
      <c r="C123" s="17" t="s">
        <v>37</v>
      </c>
      <c r="D123" s="142" t="s">
        <v>73</v>
      </c>
      <c r="E123" s="133" t="s">
        <v>73</v>
      </c>
      <c r="F123" s="10" t="s">
        <v>73</v>
      </c>
      <c r="G123" s="10" t="s">
        <v>73</v>
      </c>
      <c r="H123" s="10" t="s">
        <v>73</v>
      </c>
      <c r="I123" s="10">
        <v>0</v>
      </c>
    </row>
    <row r="124" spans="1:13" ht="27" customHeight="1">
      <c r="A124" s="2"/>
      <c r="B124" s="143" t="s">
        <v>159</v>
      </c>
      <c r="C124" s="17" t="s">
        <v>37</v>
      </c>
      <c r="D124" s="142" t="s">
        <v>73</v>
      </c>
      <c r="E124" s="133" t="s">
        <v>73</v>
      </c>
      <c r="F124" s="10" t="s">
        <v>73</v>
      </c>
      <c r="G124" s="10" t="s">
        <v>73</v>
      </c>
      <c r="H124" s="9" t="s">
        <v>73</v>
      </c>
      <c r="I124" s="10">
        <v>0</v>
      </c>
      <c r="J124" s="36"/>
      <c r="K124" s="1"/>
    </row>
    <row r="125" spans="1:13" ht="18" hidden="1" customHeight="1" outlineLevel="1">
      <c r="A125" s="2"/>
      <c r="B125" s="12" t="s">
        <v>160</v>
      </c>
      <c r="C125" s="17" t="s">
        <v>37</v>
      </c>
      <c r="D125" s="91"/>
      <c r="E125" s="14"/>
      <c r="F125" s="9"/>
      <c r="G125" s="9"/>
      <c r="H125" s="9"/>
      <c r="I125" s="9">
        <f t="shared" si="11"/>
        <v>0</v>
      </c>
    </row>
    <row r="126" spans="1:13" ht="24" customHeight="1" collapsed="1">
      <c r="A126" s="2" t="s">
        <v>161</v>
      </c>
      <c r="B126" s="3" t="s">
        <v>162</v>
      </c>
      <c r="C126" s="17" t="s">
        <v>37</v>
      </c>
      <c r="D126" s="6">
        <f>SUM(D128:D131)</f>
        <v>609827.80000000005</v>
      </c>
      <c r="E126" s="6">
        <f>SUM(E128:E131)</f>
        <v>565747.19999999995</v>
      </c>
      <c r="F126" s="10">
        <f>ROUND(E126/D126*100,1)</f>
        <v>92.8</v>
      </c>
      <c r="G126" s="10">
        <f t="shared" ref="G126:G147" si="14">E126-D126</f>
        <v>-44080.600000000093</v>
      </c>
      <c r="H126" s="10">
        <f>SUM(H128:H131)</f>
        <v>494777.1</v>
      </c>
      <c r="I126" s="10">
        <f t="shared" si="11"/>
        <v>114.3</v>
      </c>
      <c r="J126" s="11" t="s">
        <v>139</v>
      </c>
      <c r="M126" s="11"/>
    </row>
    <row r="127" spans="1:13" ht="15.75">
      <c r="A127" s="2"/>
      <c r="B127" s="2" t="s">
        <v>163</v>
      </c>
      <c r="C127" s="17" t="s">
        <v>37</v>
      </c>
      <c r="D127" s="18"/>
      <c r="E127" s="18"/>
      <c r="F127" s="9"/>
      <c r="G127" s="9">
        <f t="shared" si="14"/>
        <v>0</v>
      </c>
      <c r="H127" s="9"/>
      <c r="I127" s="9">
        <f t="shared" si="11"/>
        <v>0</v>
      </c>
      <c r="M127" s="11"/>
    </row>
    <row r="128" spans="1:13" ht="19.5" customHeight="1">
      <c r="A128" s="2"/>
      <c r="B128" s="119" t="s">
        <v>164</v>
      </c>
      <c r="C128" s="17" t="s">
        <v>37</v>
      </c>
      <c r="D128" s="91">
        <v>242390.39999999999</v>
      </c>
      <c r="E128" s="14">
        <v>230232.6</v>
      </c>
      <c r="F128" s="18">
        <f>ROUND(E128/D128*100,1)</f>
        <v>95</v>
      </c>
      <c r="G128" s="18">
        <f t="shared" si="14"/>
        <v>-12157.799999999988</v>
      </c>
      <c r="H128" s="86">
        <v>203468.4</v>
      </c>
      <c r="I128" s="9">
        <f t="shared" si="11"/>
        <v>113.2</v>
      </c>
      <c r="J128" s="11" t="s">
        <v>139</v>
      </c>
    </row>
    <row r="129" spans="1:13" ht="18" customHeight="1">
      <c r="A129" s="2"/>
      <c r="B129" s="119" t="s">
        <v>165</v>
      </c>
      <c r="C129" s="17" t="s">
        <v>37</v>
      </c>
      <c r="D129" s="91">
        <f>199236.7+23908.4</f>
        <v>223145.1</v>
      </c>
      <c r="E129" s="14">
        <v>163355.1</v>
      </c>
      <c r="F129" s="18">
        <f>ROUND(E129/D129*100,1)</f>
        <v>73.2</v>
      </c>
      <c r="G129" s="18">
        <f t="shared" si="14"/>
        <v>-59790</v>
      </c>
      <c r="H129" s="86">
        <v>146470.20000000001</v>
      </c>
      <c r="I129" s="9">
        <f t="shared" si="11"/>
        <v>111.5</v>
      </c>
      <c r="J129" s="11" t="s">
        <v>139</v>
      </c>
    </row>
    <row r="130" spans="1:13" ht="31.5">
      <c r="A130" s="2"/>
      <c r="B130" s="119" t="s">
        <v>166</v>
      </c>
      <c r="C130" s="17" t="s">
        <v>37</v>
      </c>
      <c r="D130" s="91">
        <v>117820.3</v>
      </c>
      <c r="E130" s="14">
        <v>143823</v>
      </c>
      <c r="F130" s="18">
        <f>ROUND(E130/D130*100,1)</f>
        <v>122.1</v>
      </c>
      <c r="G130" s="18">
        <f t="shared" si="14"/>
        <v>26002.699999999997</v>
      </c>
      <c r="H130" s="86">
        <v>116728.2</v>
      </c>
      <c r="I130" s="9">
        <f t="shared" si="11"/>
        <v>123.2</v>
      </c>
      <c r="J130" s="11" t="s">
        <v>139</v>
      </c>
    </row>
    <row r="131" spans="1:13" ht="15.75">
      <c r="A131" s="2"/>
      <c r="B131" s="119" t="s">
        <v>167</v>
      </c>
      <c r="C131" s="17" t="s">
        <v>37</v>
      </c>
      <c r="D131" s="91">
        <v>26472</v>
      </c>
      <c r="E131" s="14">
        <v>28336.5</v>
      </c>
      <c r="F131" s="18">
        <f>ROUND(E131/D131*100,1)</f>
        <v>107</v>
      </c>
      <c r="G131" s="18">
        <f t="shared" si="14"/>
        <v>1864.5</v>
      </c>
      <c r="H131" s="86">
        <v>28110.3</v>
      </c>
      <c r="I131" s="9">
        <f t="shared" si="11"/>
        <v>100.8</v>
      </c>
      <c r="J131" s="11" t="s">
        <v>139</v>
      </c>
    </row>
    <row r="132" spans="1:13" ht="23.25" customHeight="1">
      <c r="A132" s="13" t="s">
        <v>168</v>
      </c>
      <c r="B132" s="144" t="s">
        <v>169</v>
      </c>
      <c r="C132" s="17" t="s">
        <v>37</v>
      </c>
      <c r="D132" s="91"/>
      <c r="E132" s="133">
        <v>2549881</v>
      </c>
      <c r="F132" s="6"/>
      <c r="G132" s="6">
        <f>E132-D132</f>
        <v>2549881</v>
      </c>
      <c r="H132" s="86">
        <v>2400381</v>
      </c>
      <c r="I132" s="10">
        <f t="shared" si="11"/>
        <v>106.2</v>
      </c>
      <c r="K132" t="s">
        <v>170</v>
      </c>
    </row>
    <row r="133" spans="1:13" ht="15.75">
      <c r="A133" s="2"/>
      <c r="B133" s="2" t="s">
        <v>12</v>
      </c>
      <c r="C133" s="17" t="s">
        <v>37</v>
      </c>
      <c r="D133" s="91"/>
      <c r="E133" s="14"/>
      <c r="F133" s="9"/>
      <c r="G133" s="9">
        <f t="shared" si="14"/>
        <v>0</v>
      </c>
      <c r="H133" s="86"/>
      <c r="I133" s="9">
        <f t="shared" si="11"/>
        <v>0</v>
      </c>
    </row>
    <row r="134" spans="1:13" ht="24.75" customHeight="1">
      <c r="A134" s="2"/>
      <c r="B134" s="8" t="s">
        <v>171</v>
      </c>
      <c r="C134" s="17" t="s">
        <v>37</v>
      </c>
      <c r="D134" s="87"/>
      <c r="E134" s="88">
        <v>2015772</v>
      </c>
      <c r="F134" s="7"/>
      <c r="G134" s="7">
        <f t="shared" si="14"/>
        <v>2015772</v>
      </c>
      <c r="H134" s="86">
        <v>721301</v>
      </c>
      <c r="I134" s="7">
        <f t="shared" si="11"/>
        <v>279.5</v>
      </c>
      <c r="K134" t="s">
        <v>170</v>
      </c>
      <c r="L134" t="s">
        <v>170</v>
      </c>
      <c r="M134" t="s">
        <v>172</v>
      </c>
    </row>
    <row r="135" spans="1:13" ht="15.75">
      <c r="A135" s="2"/>
      <c r="B135" s="2" t="s">
        <v>163</v>
      </c>
      <c r="C135" s="17" t="s">
        <v>37</v>
      </c>
      <c r="D135" s="91"/>
      <c r="E135" s="14"/>
      <c r="F135" s="9"/>
      <c r="G135" s="9">
        <f t="shared" si="14"/>
        <v>0</v>
      </c>
      <c r="H135" s="86"/>
      <c r="I135" s="9">
        <f t="shared" si="11"/>
        <v>0</v>
      </c>
    </row>
    <row r="136" spans="1:13" ht="15.75">
      <c r="A136" s="2"/>
      <c r="B136" s="119" t="s">
        <v>173</v>
      </c>
      <c r="C136" s="17" t="s">
        <v>37</v>
      </c>
      <c r="D136" s="91"/>
      <c r="E136" s="14">
        <v>1129371</v>
      </c>
      <c r="F136" s="9"/>
      <c r="G136" s="9">
        <f t="shared" si="14"/>
        <v>1129371</v>
      </c>
      <c r="H136" s="86">
        <v>1162668</v>
      </c>
      <c r="I136" s="9">
        <f t="shared" si="11"/>
        <v>97.1</v>
      </c>
      <c r="K136" t="s">
        <v>170</v>
      </c>
      <c r="L136" t="s">
        <v>170</v>
      </c>
      <c r="M136" t="s">
        <v>174</v>
      </c>
    </row>
    <row r="137" spans="1:13" ht="15.75">
      <c r="A137" s="2"/>
      <c r="B137" s="119" t="s">
        <v>175</v>
      </c>
      <c r="C137" s="17" t="s">
        <v>37</v>
      </c>
      <c r="D137" s="91"/>
      <c r="E137" s="14">
        <v>1324</v>
      </c>
      <c r="F137" s="9"/>
      <c r="G137" s="9">
        <f t="shared" si="14"/>
        <v>1324</v>
      </c>
      <c r="H137" s="86">
        <v>332</v>
      </c>
      <c r="I137" s="9">
        <f t="shared" si="11"/>
        <v>398.8</v>
      </c>
      <c r="K137" t="s">
        <v>170</v>
      </c>
      <c r="L137" t="s">
        <v>170</v>
      </c>
      <c r="M137" t="s">
        <v>176</v>
      </c>
    </row>
    <row r="138" spans="1:13" ht="15.75">
      <c r="A138" s="2"/>
      <c r="B138" s="12" t="s">
        <v>177</v>
      </c>
      <c r="C138" s="17" t="s">
        <v>37</v>
      </c>
      <c r="D138" s="91"/>
      <c r="E138" s="14">
        <v>534109</v>
      </c>
      <c r="F138" s="9"/>
      <c r="G138" s="9">
        <f t="shared" si="14"/>
        <v>534109</v>
      </c>
      <c r="H138" s="86">
        <v>489479</v>
      </c>
      <c r="I138" s="9">
        <f t="shared" si="11"/>
        <v>109.1</v>
      </c>
      <c r="K138" t="s">
        <v>170</v>
      </c>
      <c r="L138" t="s">
        <v>170</v>
      </c>
      <c r="M138" t="s">
        <v>178</v>
      </c>
    </row>
    <row r="139" spans="1:13" ht="15.75">
      <c r="A139" s="2"/>
      <c r="B139" s="2" t="s">
        <v>52</v>
      </c>
      <c r="C139" s="17" t="s">
        <v>37</v>
      </c>
      <c r="D139" s="91"/>
      <c r="E139" s="14"/>
      <c r="F139" s="9"/>
      <c r="G139" s="9">
        <f t="shared" si="14"/>
        <v>0</v>
      </c>
      <c r="H139" s="86"/>
      <c r="I139" s="9">
        <f t="shared" si="11"/>
        <v>0</v>
      </c>
      <c r="K139" t="s">
        <v>170</v>
      </c>
      <c r="L139" t="s">
        <v>170</v>
      </c>
    </row>
    <row r="140" spans="1:13" ht="20.25" customHeight="1">
      <c r="A140" s="145"/>
      <c r="B140" s="146" t="s">
        <v>179</v>
      </c>
      <c r="C140" s="17" t="s">
        <v>37</v>
      </c>
      <c r="D140" s="147"/>
      <c r="E140" s="148">
        <v>247868</v>
      </c>
      <c r="F140" s="9"/>
      <c r="G140" s="149">
        <f t="shared" si="14"/>
        <v>247868</v>
      </c>
      <c r="H140" s="86">
        <v>222395</v>
      </c>
      <c r="I140" s="9">
        <f t="shared" si="11"/>
        <v>111.5</v>
      </c>
      <c r="K140" t="s">
        <v>170</v>
      </c>
      <c r="L140" t="s">
        <v>170</v>
      </c>
      <c r="M140" t="s">
        <v>180</v>
      </c>
    </row>
    <row r="141" spans="1:13" ht="15.75">
      <c r="A141" s="2"/>
      <c r="B141" s="2" t="s">
        <v>163</v>
      </c>
      <c r="C141" s="17" t="s">
        <v>37</v>
      </c>
      <c r="D141" s="91"/>
      <c r="E141" s="14"/>
      <c r="F141" s="9"/>
      <c r="G141" s="9">
        <f t="shared" si="14"/>
        <v>0</v>
      </c>
      <c r="H141" s="86"/>
      <c r="I141" s="9">
        <f t="shared" si="11"/>
        <v>0</v>
      </c>
      <c r="K141" t="s">
        <v>170</v>
      </c>
      <c r="L141" t="s">
        <v>170</v>
      </c>
    </row>
    <row r="142" spans="1:13" ht="20.25" customHeight="1">
      <c r="A142" s="2"/>
      <c r="B142" s="119" t="s">
        <v>181</v>
      </c>
      <c r="C142" s="17" t="s">
        <v>37</v>
      </c>
      <c r="D142" s="91"/>
      <c r="E142" s="14">
        <v>112841</v>
      </c>
      <c r="F142" s="9"/>
      <c r="G142" s="9">
        <f t="shared" si="14"/>
        <v>112841</v>
      </c>
      <c r="H142" s="86">
        <v>100995</v>
      </c>
      <c r="I142" s="9">
        <f t="shared" si="11"/>
        <v>111.7</v>
      </c>
      <c r="K142" t="s">
        <v>170</v>
      </c>
      <c r="L142" t="s">
        <v>170</v>
      </c>
      <c r="M142" t="s">
        <v>182</v>
      </c>
    </row>
    <row r="143" spans="1:13" ht="15.75">
      <c r="A143" s="2"/>
      <c r="B143" s="119" t="s">
        <v>183</v>
      </c>
      <c r="C143" s="17" t="s">
        <v>37</v>
      </c>
      <c r="D143" s="91"/>
      <c r="E143" s="14">
        <v>128221</v>
      </c>
      <c r="F143" s="9"/>
      <c r="G143" s="9">
        <f t="shared" si="14"/>
        <v>128221</v>
      </c>
      <c r="H143" s="86">
        <v>112901</v>
      </c>
      <c r="I143" s="9">
        <f t="shared" si="11"/>
        <v>113.6</v>
      </c>
      <c r="K143" t="s">
        <v>170</v>
      </c>
      <c r="L143" t="s">
        <v>170</v>
      </c>
      <c r="M143" t="s">
        <v>184</v>
      </c>
    </row>
    <row r="144" spans="1:13" ht="15.75">
      <c r="A144" s="2"/>
      <c r="B144" s="146" t="s">
        <v>185</v>
      </c>
      <c r="C144" s="17" t="s">
        <v>37</v>
      </c>
      <c r="D144" s="91"/>
      <c r="E144" s="14">
        <v>5743</v>
      </c>
      <c r="F144" s="9"/>
      <c r="G144" s="9">
        <f t="shared" si="14"/>
        <v>5743</v>
      </c>
      <c r="H144" s="86">
        <v>27449</v>
      </c>
      <c r="I144" s="9">
        <f t="shared" si="11"/>
        <v>20.9</v>
      </c>
      <c r="K144" t="s">
        <v>170</v>
      </c>
      <c r="L144" t="s">
        <v>170</v>
      </c>
      <c r="M144" t="s">
        <v>186</v>
      </c>
    </row>
    <row r="145" spans="1:12" ht="18" customHeight="1">
      <c r="A145" s="2"/>
      <c r="B145" s="2" t="s">
        <v>163</v>
      </c>
      <c r="C145" s="17" t="s">
        <v>37</v>
      </c>
      <c r="D145" s="91"/>
      <c r="E145" s="14"/>
      <c r="F145" s="9"/>
      <c r="G145" s="9">
        <f t="shared" si="14"/>
        <v>0</v>
      </c>
      <c r="H145" s="86"/>
      <c r="I145" s="9">
        <f t="shared" si="11"/>
        <v>0</v>
      </c>
      <c r="K145" t="s">
        <v>170</v>
      </c>
      <c r="L145" t="s">
        <v>170</v>
      </c>
    </row>
    <row r="146" spans="1:12" ht="15.75">
      <c r="A146" s="2"/>
      <c r="B146" s="138" t="s">
        <v>187</v>
      </c>
      <c r="C146" s="17" t="s">
        <v>37</v>
      </c>
      <c r="D146" s="91"/>
      <c r="E146" s="14">
        <v>72760</v>
      </c>
      <c r="F146" s="9"/>
      <c r="G146" s="9">
        <f t="shared" si="14"/>
        <v>72760</v>
      </c>
      <c r="H146" s="86">
        <v>168</v>
      </c>
      <c r="I146" s="9">
        <f t="shared" si="11"/>
        <v>43309.5</v>
      </c>
      <c r="K146" t="s">
        <v>170</v>
      </c>
    </row>
    <row r="147" spans="1:12" ht="18.75" hidden="1" customHeight="1" outlineLevel="1">
      <c r="A147" s="2" t="s">
        <v>188</v>
      </c>
      <c r="B147" s="12" t="s">
        <v>189</v>
      </c>
      <c r="C147" s="17" t="s">
        <v>37</v>
      </c>
      <c r="D147" s="91"/>
      <c r="E147" s="14"/>
      <c r="F147" s="9"/>
      <c r="G147" s="9">
        <f t="shared" si="14"/>
        <v>0</v>
      </c>
      <c r="H147" s="86"/>
      <c r="I147" s="9">
        <f t="shared" si="11"/>
        <v>0</v>
      </c>
      <c r="K147" t="s">
        <v>170</v>
      </c>
    </row>
    <row r="148" spans="1:12" ht="15.75" collapsed="1">
      <c r="A148" s="2" t="s">
        <v>213</v>
      </c>
      <c r="B148" s="12" t="s">
        <v>190</v>
      </c>
      <c r="C148" s="17" t="s">
        <v>37</v>
      </c>
      <c r="D148" s="91"/>
      <c r="E148" s="14">
        <v>99572.5</v>
      </c>
      <c r="F148" s="9"/>
      <c r="G148" s="9"/>
      <c r="H148" s="86">
        <v>48067</v>
      </c>
      <c r="I148" s="9">
        <f t="shared" si="11"/>
        <v>207.2</v>
      </c>
      <c r="K148" t="s">
        <v>170</v>
      </c>
      <c r="L148" t="s">
        <v>191</v>
      </c>
    </row>
    <row r="149" spans="1:12" ht="15.75" hidden="1" outlineLevel="1">
      <c r="A149" s="2"/>
      <c r="B149" s="2" t="s">
        <v>12</v>
      </c>
      <c r="C149" s="17" t="s">
        <v>37</v>
      </c>
      <c r="D149" s="91"/>
      <c r="E149" s="14"/>
      <c r="F149" s="9"/>
      <c r="G149" s="9"/>
      <c r="H149" s="86"/>
      <c r="I149" s="9">
        <f t="shared" si="11"/>
        <v>0</v>
      </c>
      <c r="K149" t="s">
        <v>170</v>
      </c>
    </row>
    <row r="150" spans="1:12" ht="15.75" hidden="1" outlineLevel="1">
      <c r="A150" s="2"/>
      <c r="B150" s="12" t="s">
        <v>192</v>
      </c>
      <c r="C150" s="17" t="s">
        <v>37</v>
      </c>
      <c r="D150" s="91"/>
      <c r="E150" s="14"/>
      <c r="F150" s="9"/>
      <c r="G150" s="9"/>
      <c r="H150" s="86"/>
      <c r="I150" s="9">
        <f t="shared" si="11"/>
        <v>0</v>
      </c>
      <c r="K150" t="s">
        <v>170</v>
      </c>
    </row>
    <row r="151" spans="1:12" ht="15.75" hidden="1" outlineLevel="1">
      <c r="A151" s="2"/>
      <c r="B151" s="12" t="s">
        <v>193</v>
      </c>
      <c r="C151" s="17" t="s">
        <v>37</v>
      </c>
      <c r="D151" s="91"/>
      <c r="E151" s="14"/>
      <c r="F151" s="9"/>
      <c r="G151" s="9"/>
      <c r="H151" s="86"/>
      <c r="I151" s="9">
        <f t="shared" si="11"/>
        <v>0</v>
      </c>
      <c r="K151" t="s">
        <v>170</v>
      </c>
    </row>
    <row r="152" spans="1:12" ht="15.75" collapsed="1">
      <c r="A152" s="2" t="s">
        <v>214</v>
      </c>
      <c r="B152" s="12" t="s">
        <v>194</v>
      </c>
      <c r="C152" s="17" t="s">
        <v>37</v>
      </c>
      <c r="D152" s="91"/>
      <c r="E152" s="14">
        <v>265619</v>
      </c>
      <c r="F152" s="9"/>
      <c r="G152" s="9"/>
      <c r="H152" s="86">
        <v>195964</v>
      </c>
      <c r="I152" s="9">
        <f t="shared" si="11"/>
        <v>135.5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40"/>
      <c r="E153" s="40"/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40"/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40"/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40"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40"/>
      <c r="F159" s="40"/>
      <c r="G159" s="40"/>
      <c r="H159" s="41"/>
      <c r="I159" s="40" t="e">
        <f>ROUND(E159/H159*100,1)</f>
        <v>#DIV/0!</v>
      </c>
    </row>
    <row r="160" spans="1:12" ht="68.25" customHeight="1" collapsed="1">
      <c r="E160" s="11"/>
      <c r="H160" s="44"/>
    </row>
    <row r="161" spans="1:9" ht="37.5">
      <c r="A161" s="32"/>
      <c r="B161" s="45" t="s">
        <v>221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>
      <c r="A165" s="32"/>
      <c r="B165" s="46" t="s">
        <v>206</v>
      </c>
      <c r="C165" s="46"/>
      <c r="D165" s="46"/>
      <c r="E165" s="46"/>
      <c r="F165" s="48"/>
      <c r="G165" s="46" t="s">
        <v>220</v>
      </c>
      <c r="H165" s="46"/>
      <c r="I165" s="48"/>
    </row>
    <row r="166" spans="1:9" ht="18.75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>
      <c r="A167" s="32"/>
      <c r="B167" s="46" t="s">
        <v>215</v>
      </c>
      <c r="C167" s="46"/>
      <c r="D167" s="46"/>
      <c r="E167" s="46"/>
      <c r="F167" s="48"/>
      <c r="G167" s="46" t="s">
        <v>216</v>
      </c>
      <c r="H167" s="46"/>
      <c r="I167" s="48"/>
    </row>
    <row r="168" spans="1:9" ht="18.75">
      <c r="A168" s="32"/>
      <c r="B168" s="46"/>
      <c r="C168" s="46"/>
      <c r="D168" s="46"/>
      <c r="E168" s="46"/>
      <c r="F168" s="48"/>
      <c r="G168" s="46"/>
      <c r="H168" s="46"/>
      <c r="I168" s="48"/>
    </row>
    <row r="169" spans="1:9" ht="18.75">
      <c r="A169" s="32"/>
      <c r="B169" s="46"/>
      <c r="C169" s="46"/>
      <c r="D169" s="46"/>
      <c r="E169" s="46"/>
      <c r="F169" s="48"/>
      <c r="G169" s="46"/>
      <c r="H169" s="46"/>
      <c r="I169" s="48"/>
    </row>
    <row r="170" spans="1:9" ht="15.75">
      <c r="B170" s="49"/>
      <c r="C170" s="49"/>
      <c r="D170" s="49"/>
      <c r="E170" s="49"/>
      <c r="G170" s="49"/>
    </row>
    <row r="171" spans="1:9" ht="18.75">
      <c r="B171" s="46"/>
      <c r="C171" s="49"/>
      <c r="D171" s="49"/>
      <c r="E171" s="49"/>
      <c r="G171" s="49"/>
    </row>
    <row r="172" spans="1:9" ht="15.75">
      <c r="B172" s="49"/>
      <c r="C172" s="49"/>
      <c r="D172" s="49"/>
      <c r="E172" s="49"/>
      <c r="G172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.19685039370078741" top="0.51181102362204722" bottom="0.15748031496062992" header="0.15748031496062992" footer="0.11811023622047245"/>
  <pageSetup paperSize="9" scale="70" orientation="portrait" blackAndWhite="1" r:id="rId1"/>
  <headerFooter alignWithMargins="0"/>
  <rowBreaks count="1" manualBreakCount="1">
    <brk id="92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2"/>
  <sheetViews>
    <sheetView showZeros="0" view="pageBreakPreview" topLeftCell="B107" zoomScale="90" zoomScaleNormal="100" zoomScaleSheetLayoutView="90" workbookViewId="0">
      <pane xSplit="1" topLeftCell="C1" activePane="topRight" state="frozen"/>
      <selection activeCell="B1" sqref="B1"/>
      <selection pane="topRight" activeCell="E130" sqref="E130"/>
    </sheetView>
  </sheetViews>
  <sheetFormatPr defaultRowHeight="12.75" outlineLevelRow="1" outlineLevelCol="1"/>
  <cols>
    <col min="1" max="1" width="3.85546875" hidden="1" customWidth="1" outlineLevel="1"/>
    <col min="2" max="2" width="59.140625" customWidth="1" collapsed="1"/>
    <col min="3" max="3" width="10" customWidth="1"/>
    <col min="4" max="4" width="11.85546875" customWidth="1"/>
    <col min="5" max="5" width="12.42578125" customWidth="1"/>
    <col min="6" max="6" width="12.140625" customWidth="1"/>
    <col min="7" max="7" width="12" customWidth="1"/>
    <col min="8" max="8" width="12.42578125" customWidth="1"/>
    <col min="9" max="9" width="12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3" width="9.140625" hidden="1" customWidth="1" outlineLevel="1"/>
    <col min="14" max="14" width="1" hidden="1" customWidth="1" outlineLevel="1"/>
    <col min="15" max="15" width="9.140625" collapsed="1"/>
    <col min="257" max="257" width="3.85546875" bestFit="1" customWidth="1"/>
    <col min="258" max="258" width="61.5703125" customWidth="1"/>
    <col min="259" max="259" width="10" customWidth="1"/>
    <col min="260" max="260" width="11.85546875" customWidth="1"/>
    <col min="261" max="261" width="12.42578125" customWidth="1"/>
    <col min="262" max="262" width="9.7109375" customWidth="1"/>
    <col min="263" max="263" width="12" customWidth="1"/>
    <col min="264" max="264" width="13.28515625" customWidth="1"/>
    <col min="265" max="265" width="11.140625" customWidth="1"/>
    <col min="266" max="270" width="0" hidden="1" customWidth="1"/>
    <col min="513" max="513" width="3.85546875" bestFit="1" customWidth="1"/>
    <col min="514" max="514" width="61.5703125" customWidth="1"/>
    <col min="515" max="515" width="10" customWidth="1"/>
    <col min="516" max="516" width="11.85546875" customWidth="1"/>
    <col min="517" max="517" width="12.42578125" customWidth="1"/>
    <col min="518" max="518" width="9.7109375" customWidth="1"/>
    <col min="519" max="519" width="12" customWidth="1"/>
    <col min="520" max="520" width="13.28515625" customWidth="1"/>
    <col min="521" max="521" width="11.140625" customWidth="1"/>
    <col min="522" max="526" width="0" hidden="1" customWidth="1"/>
    <col min="769" max="769" width="3.85546875" bestFit="1" customWidth="1"/>
    <col min="770" max="770" width="61.5703125" customWidth="1"/>
    <col min="771" max="771" width="10" customWidth="1"/>
    <col min="772" max="772" width="11.85546875" customWidth="1"/>
    <col min="773" max="773" width="12.42578125" customWidth="1"/>
    <col min="774" max="774" width="9.7109375" customWidth="1"/>
    <col min="775" max="775" width="12" customWidth="1"/>
    <col min="776" max="776" width="13.28515625" customWidth="1"/>
    <col min="777" max="777" width="11.140625" customWidth="1"/>
    <col min="778" max="782" width="0" hidden="1" customWidth="1"/>
    <col min="1025" max="1025" width="3.85546875" bestFit="1" customWidth="1"/>
    <col min="1026" max="1026" width="61.5703125" customWidth="1"/>
    <col min="1027" max="1027" width="10" customWidth="1"/>
    <col min="1028" max="1028" width="11.85546875" customWidth="1"/>
    <col min="1029" max="1029" width="12.42578125" customWidth="1"/>
    <col min="1030" max="1030" width="9.7109375" customWidth="1"/>
    <col min="1031" max="1031" width="12" customWidth="1"/>
    <col min="1032" max="1032" width="13.28515625" customWidth="1"/>
    <col min="1033" max="1033" width="11.140625" customWidth="1"/>
    <col min="1034" max="1038" width="0" hidden="1" customWidth="1"/>
    <col min="1281" max="1281" width="3.85546875" bestFit="1" customWidth="1"/>
    <col min="1282" max="1282" width="61.5703125" customWidth="1"/>
    <col min="1283" max="1283" width="10" customWidth="1"/>
    <col min="1284" max="1284" width="11.85546875" customWidth="1"/>
    <col min="1285" max="1285" width="12.42578125" customWidth="1"/>
    <col min="1286" max="1286" width="9.7109375" customWidth="1"/>
    <col min="1287" max="1287" width="12" customWidth="1"/>
    <col min="1288" max="1288" width="13.28515625" customWidth="1"/>
    <col min="1289" max="1289" width="11.140625" customWidth="1"/>
    <col min="1290" max="1294" width="0" hidden="1" customWidth="1"/>
    <col min="1537" max="1537" width="3.85546875" bestFit="1" customWidth="1"/>
    <col min="1538" max="1538" width="61.5703125" customWidth="1"/>
    <col min="1539" max="1539" width="10" customWidth="1"/>
    <col min="1540" max="1540" width="11.85546875" customWidth="1"/>
    <col min="1541" max="1541" width="12.42578125" customWidth="1"/>
    <col min="1542" max="1542" width="9.7109375" customWidth="1"/>
    <col min="1543" max="1543" width="12" customWidth="1"/>
    <col min="1544" max="1544" width="13.28515625" customWidth="1"/>
    <col min="1545" max="1545" width="11.140625" customWidth="1"/>
    <col min="1546" max="1550" width="0" hidden="1" customWidth="1"/>
    <col min="1793" max="1793" width="3.85546875" bestFit="1" customWidth="1"/>
    <col min="1794" max="1794" width="61.5703125" customWidth="1"/>
    <col min="1795" max="1795" width="10" customWidth="1"/>
    <col min="1796" max="1796" width="11.85546875" customWidth="1"/>
    <col min="1797" max="1797" width="12.42578125" customWidth="1"/>
    <col min="1798" max="1798" width="9.7109375" customWidth="1"/>
    <col min="1799" max="1799" width="12" customWidth="1"/>
    <col min="1800" max="1800" width="13.28515625" customWidth="1"/>
    <col min="1801" max="1801" width="11.140625" customWidth="1"/>
    <col min="1802" max="1806" width="0" hidden="1" customWidth="1"/>
    <col min="2049" max="2049" width="3.85546875" bestFit="1" customWidth="1"/>
    <col min="2050" max="2050" width="61.5703125" customWidth="1"/>
    <col min="2051" max="2051" width="10" customWidth="1"/>
    <col min="2052" max="2052" width="11.85546875" customWidth="1"/>
    <col min="2053" max="2053" width="12.42578125" customWidth="1"/>
    <col min="2054" max="2054" width="9.7109375" customWidth="1"/>
    <col min="2055" max="2055" width="12" customWidth="1"/>
    <col min="2056" max="2056" width="13.28515625" customWidth="1"/>
    <col min="2057" max="2057" width="11.140625" customWidth="1"/>
    <col min="2058" max="2062" width="0" hidden="1" customWidth="1"/>
    <col min="2305" max="2305" width="3.85546875" bestFit="1" customWidth="1"/>
    <col min="2306" max="2306" width="61.5703125" customWidth="1"/>
    <col min="2307" max="2307" width="10" customWidth="1"/>
    <col min="2308" max="2308" width="11.85546875" customWidth="1"/>
    <col min="2309" max="2309" width="12.42578125" customWidth="1"/>
    <col min="2310" max="2310" width="9.7109375" customWidth="1"/>
    <col min="2311" max="2311" width="12" customWidth="1"/>
    <col min="2312" max="2312" width="13.28515625" customWidth="1"/>
    <col min="2313" max="2313" width="11.140625" customWidth="1"/>
    <col min="2314" max="2318" width="0" hidden="1" customWidth="1"/>
    <col min="2561" max="2561" width="3.85546875" bestFit="1" customWidth="1"/>
    <col min="2562" max="2562" width="61.5703125" customWidth="1"/>
    <col min="2563" max="2563" width="10" customWidth="1"/>
    <col min="2564" max="2564" width="11.85546875" customWidth="1"/>
    <col min="2565" max="2565" width="12.42578125" customWidth="1"/>
    <col min="2566" max="2566" width="9.7109375" customWidth="1"/>
    <col min="2567" max="2567" width="12" customWidth="1"/>
    <col min="2568" max="2568" width="13.28515625" customWidth="1"/>
    <col min="2569" max="2569" width="11.140625" customWidth="1"/>
    <col min="2570" max="2574" width="0" hidden="1" customWidth="1"/>
    <col min="2817" max="2817" width="3.85546875" bestFit="1" customWidth="1"/>
    <col min="2818" max="2818" width="61.5703125" customWidth="1"/>
    <col min="2819" max="2819" width="10" customWidth="1"/>
    <col min="2820" max="2820" width="11.85546875" customWidth="1"/>
    <col min="2821" max="2821" width="12.42578125" customWidth="1"/>
    <col min="2822" max="2822" width="9.7109375" customWidth="1"/>
    <col min="2823" max="2823" width="12" customWidth="1"/>
    <col min="2824" max="2824" width="13.28515625" customWidth="1"/>
    <col min="2825" max="2825" width="11.140625" customWidth="1"/>
    <col min="2826" max="2830" width="0" hidden="1" customWidth="1"/>
    <col min="3073" max="3073" width="3.85546875" bestFit="1" customWidth="1"/>
    <col min="3074" max="3074" width="61.5703125" customWidth="1"/>
    <col min="3075" max="3075" width="10" customWidth="1"/>
    <col min="3076" max="3076" width="11.85546875" customWidth="1"/>
    <col min="3077" max="3077" width="12.42578125" customWidth="1"/>
    <col min="3078" max="3078" width="9.7109375" customWidth="1"/>
    <col min="3079" max="3079" width="12" customWidth="1"/>
    <col min="3080" max="3080" width="13.28515625" customWidth="1"/>
    <col min="3081" max="3081" width="11.140625" customWidth="1"/>
    <col min="3082" max="3086" width="0" hidden="1" customWidth="1"/>
    <col min="3329" max="3329" width="3.85546875" bestFit="1" customWidth="1"/>
    <col min="3330" max="3330" width="61.5703125" customWidth="1"/>
    <col min="3331" max="3331" width="10" customWidth="1"/>
    <col min="3332" max="3332" width="11.85546875" customWidth="1"/>
    <col min="3333" max="3333" width="12.42578125" customWidth="1"/>
    <col min="3334" max="3334" width="9.7109375" customWidth="1"/>
    <col min="3335" max="3335" width="12" customWidth="1"/>
    <col min="3336" max="3336" width="13.28515625" customWidth="1"/>
    <col min="3337" max="3337" width="11.140625" customWidth="1"/>
    <col min="3338" max="3342" width="0" hidden="1" customWidth="1"/>
    <col min="3585" max="3585" width="3.85546875" bestFit="1" customWidth="1"/>
    <col min="3586" max="3586" width="61.5703125" customWidth="1"/>
    <col min="3587" max="3587" width="10" customWidth="1"/>
    <col min="3588" max="3588" width="11.85546875" customWidth="1"/>
    <col min="3589" max="3589" width="12.42578125" customWidth="1"/>
    <col min="3590" max="3590" width="9.7109375" customWidth="1"/>
    <col min="3591" max="3591" width="12" customWidth="1"/>
    <col min="3592" max="3592" width="13.28515625" customWidth="1"/>
    <col min="3593" max="3593" width="11.140625" customWidth="1"/>
    <col min="3594" max="3598" width="0" hidden="1" customWidth="1"/>
    <col min="3841" max="3841" width="3.85546875" bestFit="1" customWidth="1"/>
    <col min="3842" max="3842" width="61.5703125" customWidth="1"/>
    <col min="3843" max="3843" width="10" customWidth="1"/>
    <col min="3844" max="3844" width="11.85546875" customWidth="1"/>
    <col min="3845" max="3845" width="12.42578125" customWidth="1"/>
    <col min="3846" max="3846" width="9.7109375" customWidth="1"/>
    <col min="3847" max="3847" width="12" customWidth="1"/>
    <col min="3848" max="3848" width="13.28515625" customWidth="1"/>
    <col min="3849" max="3849" width="11.140625" customWidth="1"/>
    <col min="3850" max="3854" width="0" hidden="1" customWidth="1"/>
    <col min="4097" max="4097" width="3.85546875" bestFit="1" customWidth="1"/>
    <col min="4098" max="4098" width="61.5703125" customWidth="1"/>
    <col min="4099" max="4099" width="10" customWidth="1"/>
    <col min="4100" max="4100" width="11.85546875" customWidth="1"/>
    <col min="4101" max="4101" width="12.42578125" customWidth="1"/>
    <col min="4102" max="4102" width="9.7109375" customWidth="1"/>
    <col min="4103" max="4103" width="12" customWidth="1"/>
    <col min="4104" max="4104" width="13.28515625" customWidth="1"/>
    <col min="4105" max="4105" width="11.140625" customWidth="1"/>
    <col min="4106" max="4110" width="0" hidden="1" customWidth="1"/>
    <col min="4353" max="4353" width="3.85546875" bestFit="1" customWidth="1"/>
    <col min="4354" max="4354" width="61.5703125" customWidth="1"/>
    <col min="4355" max="4355" width="10" customWidth="1"/>
    <col min="4356" max="4356" width="11.85546875" customWidth="1"/>
    <col min="4357" max="4357" width="12.42578125" customWidth="1"/>
    <col min="4358" max="4358" width="9.7109375" customWidth="1"/>
    <col min="4359" max="4359" width="12" customWidth="1"/>
    <col min="4360" max="4360" width="13.28515625" customWidth="1"/>
    <col min="4361" max="4361" width="11.140625" customWidth="1"/>
    <col min="4362" max="4366" width="0" hidden="1" customWidth="1"/>
    <col min="4609" max="4609" width="3.85546875" bestFit="1" customWidth="1"/>
    <col min="4610" max="4610" width="61.5703125" customWidth="1"/>
    <col min="4611" max="4611" width="10" customWidth="1"/>
    <col min="4612" max="4612" width="11.85546875" customWidth="1"/>
    <col min="4613" max="4613" width="12.42578125" customWidth="1"/>
    <col min="4614" max="4614" width="9.7109375" customWidth="1"/>
    <col min="4615" max="4615" width="12" customWidth="1"/>
    <col min="4616" max="4616" width="13.28515625" customWidth="1"/>
    <col min="4617" max="4617" width="11.140625" customWidth="1"/>
    <col min="4618" max="4622" width="0" hidden="1" customWidth="1"/>
    <col min="4865" max="4865" width="3.85546875" bestFit="1" customWidth="1"/>
    <col min="4866" max="4866" width="61.5703125" customWidth="1"/>
    <col min="4867" max="4867" width="10" customWidth="1"/>
    <col min="4868" max="4868" width="11.85546875" customWidth="1"/>
    <col min="4869" max="4869" width="12.42578125" customWidth="1"/>
    <col min="4870" max="4870" width="9.7109375" customWidth="1"/>
    <col min="4871" max="4871" width="12" customWidth="1"/>
    <col min="4872" max="4872" width="13.28515625" customWidth="1"/>
    <col min="4873" max="4873" width="11.140625" customWidth="1"/>
    <col min="4874" max="4878" width="0" hidden="1" customWidth="1"/>
    <col min="5121" max="5121" width="3.85546875" bestFit="1" customWidth="1"/>
    <col min="5122" max="5122" width="61.5703125" customWidth="1"/>
    <col min="5123" max="5123" width="10" customWidth="1"/>
    <col min="5124" max="5124" width="11.85546875" customWidth="1"/>
    <col min="5125" max="5125" width="12.42578125" customWidth="1"/>
    <col min="5126" max="5126" width="9.7109375" customWidth="1"/>
    <col min="5127" max="5127" width="12" customWidth="1"/>
    <col min="5128" max="5128" width="13.28515625" customWidth="1"/>
    <col min="5129" max="5129" width="11.140625" customWidth="1"/>
    <col min="5130" max="5134" width="0" hidden="1" customWidth="1"/>
    <col min="5377" max="5377" width="3.85546875" bestFit="1" customWidth="1"/>
    <col min="5378" max="5378" width="61.5703125" customWidth="1"/>
    <col min="5379" max="5379" width="10" customWidth="1"/>
    <col min="5380" max="5380" width="11.85546875" customWidth="1"/>
    <col min="5381" max="5381" width="12.42578125" customWidth="1"/>
    <col min="5382" max="5382" width="9.7109375" customWidth="1"/>
    <col min="5383" max="5383" width="12" customWidth="1"/>
    <col min="5384" max="5384" width="13.28515625" customWidth="1"/>
    <col min="5385" max="5385" width="11.140625" customWidth="1"/>
    <col min="5386" max="5390" width="0" hidden="1" customWidth="1"/>
    <col min="5633" max="5633" width="3.85546875" bestFit="1" customWidth="1"/>
    <col min="5634" max="5634" width="61.5703125" customWidth="1"/>
    <col min="5635" max="5635" width="10" customWidth="1"/>
    <col min="5636" max="5636" width="11.85546875" customWidth="1"/>
    <col min="5637" max="5637" width="12.42578125" customWidth="1"/>
    <col min="5638" max="5638" width="9.7109375" customWidth="1"/>
    <col min="5639" max="5639" width="12" customWidth="1"/>
    <col min="5640" max="5640" width="13.28515625" customWidth="1"/>
    <col min="5641" max="5641" width="11.140625" customWidth="1"/>
    <col min="5642" max="5646" width="0" hidden="1" customWidth="1"/>
    <col min="5889" max="5889" width="3.85546875" bestFit="1" customWidth="1"/>
    <col min="5890" max="5890" width="61.5703125" customWidth="1"/>
    <col min="5891" max="5891" width="10" customWidth="1"/>
    <col min="5892" max="5892" width="11.85546875" customWidth="1"/>
    <col min="5893" max="5893" width="12.42578125" customWidth="1"/>
    <col min="5894" max="5894" width="9.7109375" customWidth="1"/>
    <col min="5895" max="5895" width="12" customWidth="1"/>
    <col min="5896" max="5896" width="13.28515625" customWidth="1"/>
    <col min="5897" max="5897" width="11.140625" customWidth="1"/>
    <col min="5898" max="5902" width="0" hidden="1" customWidth="1"/>
    <col min="6145" max="6145" width="3.85546875" bestFit="1" customWidth="1"/>
    <col min="6146" max="6146" width="61.5703125" customWidth="1"/>
    <col min="6147" max="6147" width="10" customWidth="1"/>
    <col min="6148" max="6148" width="11.85546875" customWidth="1"/>
    <col min="6149" max="6149" width="12.42578125" customWidth="1"/>
    <col min="6150" max="6150" width="9.7109375" customWidth="1"/>
    <col min="6151" max="6151" width="12" customWidth="1"/>
    <col min="6152" max="6152" width="13.28515625" customWidth="1"/>
    <col min="6153" max="6153" width="11.140625" customWidth="1"/>
    <col min="6154" max="6158" width="0" hidden="1" customWidth="1"/>
    <col min="6401" max="6401" width="3.85546875" bestFit="1" customWidth="1"/>
    <col min="6402" max="6402" width="61.5703125" customWidth="1"/>
    <col min="6403" max="6403" width="10" customWidth="1"/>
    <col min="6404" max="6404" width="11.85546875" customWidth="1"/>
    <col min="6405" max="6405" width="12.42578125" customWidth="1"/>
    <col min="6406" max="6406" width="9.7109375" customWidth="1"/>
    <col min="6407" max="6407" width="12" customWidth="1"/>
    <col min="6408" max="6408" width="13.28515625" customWidth="1"/>
    <col min="6409" max="6409" width="11.140625" customWidth="1"/>
    <col min="6410" max="6414" width="0" hidden="1" customWidth="1"/>
    <col min="6657" max="6657" width="3.85546875" bestFit="1" customWidth="1"/>
    <col min="6658" max="6658" width="61.5703125" customWidth="1"/>
    <col min="6659" max="6659" width="10" customWidth="1"/>
    <col min="6660" max="6660" width="11.85546875" customWidth="1"/>
    <col min="6661" max="6661" width="12.42578125" customWidth="1"/>
    <col min="6662" max="6662" width="9.7109375" customWidth="1"/>
    <col min="6663" max="6663" width="12" customWidth="1"/>
    <col min="6664" max="6664" width="13.28515625" customWidth="1"/>
    <col min="6665" max="6665" width="11.140625" customWidth="1"/>
    <col min="6666" max="6670" width="0" hidden="1" customWidth="1"/>
    <col min="6913" max="6913" width="3.85546875" bestFit="1" customWidth="1"/>
    <col min="6914" max="6914" width="61.5703125" customWidth="1"/>
    <col min="6915" max="6915" width="10" customWidth="1"/>
    <col min="6916" max="6916" width="11.85546875" customWidth="1"/>
    <col min="6917" max="6917" width="12.42578125" customWidth="1"/>
    <col min="6918" max="6918" width="9.7109375" customWidth="1"/>
    <col min="6919" max="6919" width="12" customWidth="1"/>
    <col min="6920" max="6920" width="13.28515625" customWidth="1"/>
    <col min="6921" max="6921" width="11.140625" customWidth="1"/>
    <col min="6922" max="6926" width="0" hidden="1" customWidth="1"/>
    <col min="7169" max="7169" width="3.85546875" bestFit="1" customWidth="1"/>
    <col min="7170" max="7170" width="61.5703125" customWidth="1"/>
    <col min="7171" max="7171" width="10" customWidth="1"/>
    <col min="7172" max="7172" width="11.85546875" customWidth="1"/>
    <col min="7173" max="7173" width="12.42578125" customWidth="1"/>
    <col min="7174" max="7174" width="9.7109375" customWidth="1"/>
    <col min="7175" max="7175" width="12" customWidth="1"/>
    <col min="7176" max="7176" width="13.28515625" customWidth="1"/>
    <col min="7177" max="7177" width="11.140625" customWidth="1"/>
    <col min="7178" max="7182" width="0" hidden="1" customWidth="1"/>
    <col min="7425" max="7425" width="3.85546875" bestFit="1" customWidth="1"/>
    <col min="7426" max="7426" width="61.5703125" customWidth="1"/>
    <col min="7427" max="7427" width="10" customWidth="1"/>
    <col min="7428" max="7428" width="11.85546875" customWidth="1"/>
    <col min="7429" max="7429" width="12.42578125" customWidth="1"/>
    <col min="7430" max="7430" width="9.7109375" customWidth="1"/>
    <col min="7431" max="7431" width="12" customWidth="1"/>
    <col min="7432" max="7432" width="13.28515625" customWidth="1"/>
    <col min="7433" max="7433" width="11.140625" customWidth="1"/>
    <col min="7434" max="7438" width="0" hidden="1" customWidth="1"/>
    <col min="7681" max="7681" width="3.85546875" bestFit="1" customWidth="1"/>
    <col min="7682" max="7682" width="61.5703125" customWidth="1"/>
    <col min="7683" max="7683" width="10" customWidth="1"/>
    <col min="7684" max="7684" width="11.85546875" customWidth="1"/>
    <col min="7685" max="7685" width="12.42578125" customWidth="1"/>
    <col min="7686" max="7686" width="9.7109375" customWidth="1"/>
    <col min="7687" max="7687" width="12" customWidth="1"/>
    <col min="7688" max="7688" width="13.28515625" customWidth="1"/>
    <col min="7689" max="7689" width="11.140625" customWidth="1"/>
    <col min="7690" max="7694" width="0" hidden="1" customWidth="1"/>
    <col min="7937" max="7937" width="3.85546875" bestFit="1" customWidth="1"/>
    <col min="7938" max="7938" width="61.5703125" customWidth="1"/>
    <col min="7939" max="7939" width="10" customWidth="1"/>
    <col min="7940" max="7940" width="11.85546875" customWidth="1"/>
    <col min="7941" max="7941" width="12.42578125" customWidth="1"/>
    <col min="7942" max="7942" width="9.7109375" customWidth="1"/>
    <col min="7943" max="7943" width="12" customWidth="1"/>
    <col min="7944" max="7944" width="13.28515625" customWidth="1"/>
    <col min="7945" max="7945" width="11.140625" customWidth="1"/>
    <col min="7946" max="7950" width="0" hidden="1" customWidth="1"/>
    <col min="8193" max="8193" width="3.85546875" bestFit="1" customWidth="1"/>
    <col min="8194" max="8194" width="61.5703125" customWidth="1"/>
    <col min="8195" max="8195" width="10" customWidth="1"/>
    <col min="8196" max="8196" width="11.85546875" customWidth="1"/>
    <col min="8197" max="8197" width="12.42578125" customWidth="1"/>
    <col min="8198" max="8198" width="9.7109375" customWidth="1"/>
    <col min="8199" max="8199" width="12" customWidth="1"/>
    <col min="8200" max="8200" width="13.28515625" customWidth="1"/>
    <col min="8201" max="8201" width="11.140625" customWidth="1"/>
    <col min="8202" max="8206" width="0" hidden="1" customWidth="1"/>
    <col min="8449" max="8449" width="3.85546875" bestFit="1" customWidth="1"/>
    <col min="8450" max="8450" width="61.5703125" customWidth="1"/>
    <col min="8451" max="8451" width="10" customWidth="1"/>
    <col min="8452" max="8452" width="11.85546875" customWidth="1"/>
    <col min="8453" max="8453" width="12.42578125" customWidth="1"/>
    <col min="8454" max="8454" width="9.7109375" customWidth="1"/>
    <col min="8455" max="8455" width="12" customWidth="1"/>
    <col min="8456" max="8456" width="13.28515625" customWidth="1"/>
    <col min="8457" max="8457" width="11.140625" customWidth="1"/>
    <col min="8458" max="8462" width="0" hidden="1" customWidth="1"/>
    <col min="8705" max="8705" width="3.85546875" bestFit="1" customWidth="1"/>
    <col min="8706" max="8706" width="61.5703125" customWidth="1"/>
    <col min="8707" max="8707" width="10" customWidth="1"/>
    <col min="8708" max="8708" width="11.85546875" customWidth="1"/>
    <col min="8709" max="8709" width="12.42578125" customWidth="1"/>
    <col min="8710" max="8710" width="9.7109375" customWidth="1"/>
    <col min="8711" max="8711" width="12" customWidth="1"/>
    <col min="8712" max="8712" width="13.28515625" customWidth="1"/>
    <col min="8713" max="8713" width="11.140625" customWidth="1"/>
    <col min="8714" max="8718" width="0" hidden="1" customWidth="1"/>
    <col min="8961" max="8961" width="3.85546875" bestFit="1" customWidth="1"/>
    <col min="8962" max="8962" width="61.5703125" customWidth="1"/>
    <col min="8963" max="8963" width="10" customWidth="1"/>
    <col min="8964" max="8964" width="11.85546875" customWidth="1"/>
    <col min="8965" max="8965" width="12.42578125" customWidth="1"/>
    <col min="8966" max="8966" width="9.7109375" customWidth="1"/>
    <col min="8967" max="8967" width="12" customWidth="1"/>
    <col min="8968" max="8968" width="13.28515625" customWidth="1"/>
    <col min="8969" max="8969" width="11.140625" customWidth="1"/>
    <col min="8970" max="8974" width="0" hidden="1" customWidth="1"/>
    <col min="9217" max="9217" width="3.85546875" bestFit="1" customWidth="1"/>
    <col min="9218" max="9218" width="61.5703125" customWidth="1"/>
    <col min="9219" max="9219" width="10" customWidth="1"/>
    <col min="9220" max="9220" width="11.85546875" customWidth="1"/>
    <col min="9221" max="9221" width="12.42578125" customWidth="1"/>
    <col min="9222" max="9222" width="9.7109375" customWidth="1"/>
    <col min="9223" max="9223" width="12" customWidth="1"/>
    <col min="9224" max="9224" width="13.28515625" customWidth="1"/>
    <col min="9225" max="9225" width="11.140625" customWidth="1"/>
    <col min="9226" max="9230" width="0" hidden="1" customWidth="1"/>
    <col min="9473" max="9473" width="3.85546875" bestFit="1" customWidth="1"/>
    <col min="9474" max="9474" width="61.5703125" customWidth="1"/>
    <col min="9475" max="9475" width="10" customWidth="1"/>
    <col min="9476" max="9476" width="11.85546875" customWidth="1"/>
    <col min="9477" max="9477" width="12.42578125" customWidth="1"/>
    <col min="9478" max="9478" width="9.7109375" customWidth="1"/>
    <col min="9479" max="9479" width="12" customWidth="1"/>
    <col min="9480" max="9480" width="13.28515625" customWidth="1"/>
    <col min="9481" max="9481" width="11.140625" customWidth="1"/>
    <col min="9482" max="9486" width="0" hidden="1" customWidth="1"/>
    <col min="9729" max="9729" width="3.85546875" bestFit="1" customWidth="1"/>
    <col min="9730" max="9730" width="61.5703125" customWidth="1"/>
    <col min="9731" max="9731" width="10" customWidth="1"/>
    <col min="9732" max="9732" width="11.85546875" customWidth="1"/>
    <col min="9733" max="9733" width="12.42578125" customWidth="1"/>
    <col min="9734" max="9734" width="9.7109375" customWidth="1"/>
    <col min="9735" max="9735" width="12" customWidth="1"/>
    <col min="9736" max="9736" width="13.28515625" customWidth="1"/>
    <col min="9737" max="9737" width="11.140625" customWidth="1"/>
    <col min="9738" max="9742" width="0" hidden="1" customWidth="1"/>
    <col min="9985" max="9985" width="3.85546875" bestFit="1" customWidth="1"/>
    <col min="9986" max="9986" width="61.5703125" customWidth="1"/>
    <col min="9987" max="9987" width="10" customWidth="1"/>
    <col min="9988" max="9988" width="11.85546875" customWidth="1"/>
    <col min="9989" max="9989" width="12.42578125" customWidth="1"/>
    <col min="9990" max="9990" width="9.7109375" customWidth="1"/>
    <col min="9991" max="9991" width="12" customWidth="1"/>
    <col min="9992" max="9992" width="13.28515625" customWidth="1"/>
    <col min="9993" max="9993" width="11.140625" customWidth="1"/>
    <col min="9994" max="9998" width="0" hidden="1" customWidth="1"/>
    <col min="10241" max="10241" width="3.85546875" bestFit="1" customWidth="1"/>
    <col min="10242" max="10242" width="61.5703125" customWidth="1"/>
    <col min="10243" max="10243" width="10" customWidth="1"/>
    <col min="10244" max="10244" width="11.85546875" customWidth="1"/>
    <col min="10245" max="10245" width="12.42578125" customWidth="1"/>
    <col min="10246" max="10246" width="9.7109375" customWidth="1"/>
    <col min="10247" max="10247" width="12" customWidth="1"/>
    <col min="10248" max="10248" width="13.28515625" customWidth="1"/>
    <col min="10249" max="10249" width="11.140625" customWidth="1"/>
    <col min="10250" max="10254" width="0" hidden="1" customWidth="1"/>
    <col min="10497" max="10497" width="3.85546875" bestFit="1" customWidth="1"/>
    <col min="10498" max="10498" width="61.5703125" customWidth="1"/>
    <col min="10499" max="10499" width="10" customWidth="1"/>
    <col min="10500" max="10500" width="11.85546875" customWidth="1"/>
    <col min="10501" max="10501" width="12.42578125" customWidth="1"/>
    <col min="10502" max="10502" width="9.7109375" customWidth="1"/>
    <col min="10503" max="10503" width="12" customWidth="1"/>
    <col min="10504" max="10504" width="13.28515625" customWidth="1"/>
    <col min="10505" max="10505" width="11.140625" customWidth="1"/>
    <col min="10506" max="10510" width="0" hidden="1" customWidth="1"/>
    <col min="10753" max="10753" width="3.85546875" bestFit="1" customWidth="1"/>
    <col min="10754" max="10754" width="61.5703125" customWidth="1"/>
    <col min="10755" max="10755" width="10" customWidth="1"/>
    <col min="10756" max="10756" width="11.85546875" customWidth="1"/>
    <col min="10757" max="10757" width="12.42578125" customWidth="1"/>
    <col min="10758" max="10758" width="9.7109375" customWidth="1"/>
    <col min="10759" max="10759" width="12" customWidth="1"/>
    <col min="10760" max="10760" width="13.28515625" customWidth="1"/>
    <col min="10761" max="10761" width="11.140625" customWidth="1"/>
    <col min="10762" max="10766" width="0" hidden="1" customWidth="1"/>
    <col min="11009" max="11009" width="3.85546875" bestFit="1" customWidth="1"/>
    <col min="11010" max="11010" width="61.5703125" customWidth="1"/>
    <col min="11011" max="11011" width="10" customWidth="1"/>
    <col min="11012" max="11012" width="11.85546875" customWidth="1"/>
    <col min="11013" max="11013" width="12.42578125" customWidth="1"/>
    <col min="11014" max="11014" width="9.7109375" customWidth="1"/>
    <col min="11015" max="11015" width="12" customWidth="1"/>
    <col min="11016" max="11016" width="13.28515625" customWidth="1"/>
    <col min="11017" max="11017" width="11.140625" customWidth="1"/>
    <col min="11018" max="11022" width="0" hidden="1" customWidth="1"/>
    <col min="11265" max="11265" width="3.85546875" bestFit="1" customWidth="1"/>
    <col min="11266" max="11266" width="61.5703125" customWidth="1"/>
    <col min="11267" max="11267" width="10" customWidth="1"/>
    <col min="11268" max="11268" width="11.85546875" customWidth="1"/>
    <col min="11269" max="11269" width="12.42578125" customWidth="1"/>
    <col min="11270" max="11270" width="9.7109375" customWidth="1"/>
    <col min="11271" max="11271" width="12" customWidth="1"/>
    <col min="11272" max="11272" width="13.28515625" customWidth="1"/>
    <col min="11273" max="11273" width="11.140625" customWidth="1"/>
    <col min="11274" max="11278" width="0" hidden="1" customWidth="1"/>
    <col min="11521" max="11521" width="3.85546875" bestFit="1" customWidth="1"/>
    <col min="11522" max="11522" width="61.5703125" customWidth="1"/>
    <col min="11523" max="11523" width="10" customWidth="1"/>
    <col min="11524" max="11524" width="11.85546875" customWidth="1"/>
    <col min="11525" max="11525" width="12.42578125" customWidth="1"/>
    <col min="11526" max="11526" width="9.7109375" customWidth="1"/>
    <col min="11527" max="11527" width="12" customWidth="1"/>
    <col min="11528" max="11528" width="13.28515625" customWidth="1"/>
    <col min="11529" max="11529" width="11.140625" customWidth="1"/>
    <col min="11530" max="11534" width="0" hidden="1" customWidth="1"/>
    <col min="11777" max="11777" width="3.85546875" bestFit="1" customWidth="1"/>
    <col min="11778" max="11778" width="61.5703125" customWidth="1"/>
    <col min="11779" max="11779" width="10" customWidth="1"/>
    <col min="11780" max="11780" width="11.85546875" customWidth="1"/>
    <col min="11781" max="11781" width="12.42578125" customWidth="1"/>
    <col min="11782" max="11782" width="9.7109375" customWidth="1"/>
    <col min="11783" max="11783" width="12" customWidth="1"/>
    <col min="11784" max="11784" width="13.28515625" customWidth="1"/>
    <col min="11785" max="11785" width="11.140625" customWidth="1"/>
    <col min="11786" max="11790" width="0" hidden="1" customWidth="1"/>
    <col min="12033" max="12033" width="3.85546875" bestFit="1" customWidth="1"/>
    <col min="12034" max="12034" width="61.5703125" customWidth="1"/>
    <col min="12035" max="12035" width="10" customWidth="1"/>
    <col min="12036" max="12036" width="11.85546875" customWidth="1"/>
    <col min="12037" max="12037" width="12.42578125" customWidth="1"/>
    <col min="12038" max="12038" width="9.7109375" customWidth="1"/>
    <col min="12039" max="12039" width="12" customWidth="1"/>
    <col min="12040" max="12040" width="13.28515625" customWidth="1"/>
    <col min="12041" max="12041" width="11.140625" customWidth="1"/>
    <col min="12042" max="12046" width="0" hidden="1" customWidth="1"/>
    <col min="12289" max="12289" width="3.85546875" bestFit="1" customWidth="1"/>
    <col min="12290" max="12290" width="61.5703125" customWidth="1"/>
    <col min="12291" max="12291" width="10" customWidth="1"/>
    <col min="12292" max="12292" width="11.85546875" customWidth="1"/>
    <col min="12293" max="12293" width="12.42578125" customWidth="1"/>
    <col min="12294" max="12294" width="9.7109375" customWidth="1"/>
    <col min="12295" max="12295" width="12" customWidth="1"/>
    <col min="12296" max="12296" width="13.28515625" customWidth="1"/>
    <col min="12297" max="12297" width="11.140625" customWidth="1"/>
    <col min="12298" max="12302" width="0" hidden="1" customWidth="1"/>
    <col min="12545" max="12545" width="3.85546875" bestFit="1" customWidth="1"/>
    <col min="12546" max="12546" width="61.5703125" customWidth="1"/>
    <col min="12547" max="12547" width="10" customWidth="1"/>
    <col min="12548" max="12548" width="11.85546875" customWidth="1"/>
    <col min="12549" max="12549" width="12.42578125" customWidth="1"/>
    <col min="12550" max="12550" width="9.7109375" customWidth="1"/>
    <col min="12551" max="12551" width="12" customWidth="1"/>
    <col min="12552" max="12552" width="13.28515625" customWidth="1"/>
    <col min="12553" max="12553" width="11.140625" customWidth="1"/>
    <col min="12554" max="12558" width="0" hidden="1" customWidth="1"/>
    <col min="12801" max="12801" width="3.85546875" bestFit="1" customWidth="1"/>
    <col min="12802" max="12802" width="61.5703125" customWidth="1"/>
    <col min="12803" max="12803" width="10" customWidth="1"/>
    <col min="12804" max="12804" width="11.85546875" customWidth="1"/>
    <col min="12805" max="12805" width="12.42578125" customWidth="1"/>
    <col min="12806" max="12806" width="9.7109375" customWidth="1"/>
    <col min="12807" max="12807" width="12" customWidth="1"/>
    <col min="12808" max="12808" width="13.28515625" customWidth="1"/>
    <col min="12809" max="12809" width="11.140625" customWidth="1"/>
    <col min="12810" max="12814" width="0" hidden="1" customWidth="1"/>
    <col min="13057" max="13057" width="3.85546875" bestFit="1" customWidth="1"/>
    <col min="13058" max="13058" width="61.5703125" customWidth="1"/>
    <col min="13059" max="13059" width="10" customWidth="1"/>
    <col min="13060" max="13060" width="11.85546875" customWidth="1"/>
    <col min="13061" max="13061" width="12.42578125" customWidth="1"/>
    <col min="13062" max="13062" width="9.7109375" customWidth="1"/>
    <col min="13063" max="13063" width="12" customWidth="1"/>
    <col min="13064" max="13064" width="13.28515625" customWidth="1"/>
    <col min="13065" max="13065" width="11.140625" customWidth="1"/>
    <col min="13066" max="13070" width="0" hidden="1" customWidth="1"/>
    <col min="13313" max="13313" width="3.85546875" bestFit="1" customWidth="1"/>
    <col min="13314" max="13314" width="61.5703125" customWidth="1"/>
    <col min="13315" max="13315" width="10" customWidth="1"/>
    <col min="13316" max="13316" width="11.85546875" customWidth="1"/>
    <col min="13317" max="13317" width="12.42578125" customWidth="1"/>
    <col min="13318" max="13318" width="9.7109375" customWidth="1"/>
    <col min="13319" max="13319" width="12" customWidth="1"/>
    <col min="13320" max="13320" width="13.28515625" customWidth="1"/>
    <col min="13321" max="13321" width="11.140625" customWidth="1"/>
    <col min="13322" max="13326" width="0" hidden="1" customWidth="1"/>
    <col min="13569" max="13569" width="3.85546875" bestFit="1" customWidth="1"/>
    <col min="13570" max="13570" width="61.5703125" customWidth="1"/>
    <col min="13571" max="13571" width="10" customWidth="1"/>
    <col min="13572" max="13572" width="11.85546875" customWidth="1"/>
    <col min="13573" max="13573" width="12.42578125" customWidth="1"/>
    <col min="13574" max="13574" width="9.7109375" customWidth="1"/>
    <col min="13575" max="13575" width="12" customWidth="1"/>
    <col min="13576" max="13576" width="13.28515625" customWidth="1"/>
    <col min="13577" max="13577" width="11.140625" customWidth="1"/>
    <col min="13578" max="13582" width="0" hidden="1" customWidth="1"/>
    <col min="13825" max="13825" width="3.85546875" bestFit="1" customWidth="1"/>
    <col min="13826" max="13826" width="61.5703125" customWidth="1"/>
    <col min="13827" max="13827" width="10" customWidth="1"/>
    <col min="13828" max="13828" width="11.85546875" customWidth="1"/>
    <col min="13829" max="13829" width="12.42578125" customWidth="1"/>
    <col min="13830" max="13830" width="9.7109375" customWidth="1"/>
    <col min="13831" max="13831" width="12" customWidth="1"/>
    <col min="13832" max="13832" width="13.28515625" customWidth="1"/>
    <col min="13833" max="13833" width="11.140625" customWidth="1"/>
    <col min="13834" max="13838" width="0" hidden="1" customWidth="1"/>
    <col min="14081" max="14081" width="3.85546875" bestFit="1" customWidth="1"/>
    <col min="14082" max="14082" width="61.5703125" customWidth="1"/>
    <col min="14083" max="14083" width="10" customWidth="1"/>
    <col min="14084" max="14084" width="11.85546875" customWidth="1"/>
    <col min="14085" max="14085" width="12.42578125" customWidth="1"/>
    <col min="14086" max="14086" width="9.7109375" customWidth="1"/>
    <col min="14087" max="14087" width="12" customWidth="1"/>
    <col min="14088" max="14088" width="13.28515625" customWidth="1"/>
    <col min="14089" max="14089" width="11.140625" customWidth="1"/>
    <col min="14090" max="14094" width="0" hidden="1" customWidth="1"/>
    <col min="14337" max="14337" width="3.85546875" bestFit="1" customWidth="1"/>
    <col min="14338" max="14338" width="61.5703125" customWidth="1"/>
    <col min="14339" max="14339" width="10" customWidth="1"/>
    <col min="14340" max="14340" width="11.85546875" customWidth="1"/>
    <col min="14341" max="14341" width="12.42578125" customWidth="1"/>
    <col min="14342" max="14342" width="9.7109375" customWidth="1"/>
    <col min="14343" max="14343" width="12" customWidth="1"/>
    <col min="14344" max="14344" width="13.28515625" customWidth="1"/>
    <col min="14345" max="14345" width="11.140625" customWidth="1"/>
    <col min="14346" max="14350" width="0" hidden="1" customWidth="1"/>
    <col min="14593" max="14593" width="3.85546875" bestFit="1" customWidth="1"/>
    <col min="14594" max="14594" width="61.5703125" customWidth="1"/>
    <col min="14595" max="14595" width="10" customWidth="1"/>
    <col min="14596" max="14596" width="11.85546875" customWidth="1"/>
    <col min="14597" max="14597" width="12.42578125" customWidth="1"/>
    <col min="14598" max="14598" width="9.7109375" customWidth="1"/>
    <col min="14599" max="14599" width="12" customWidth="1"/>
    <col min="14600" max="14600" width="13.28515625" customWidth="1"/>
    <col min="14601" max="14601" width="11.140625" customWidth="1"/>
    <col min="14602" max="14606" width="0" hidden="1" customWidth="1"/>
    <col min="14849" max="14849" width="3.85546875" bestFit="1" customWidth="1"/>
    <col min="14850" max="14850" width="61.5703125" customWidth="1"/>
    <col min="14851" max="14851" width="10" customWidth="1"/>
    <col min="14852" max="14852" width="11.85546875" customWidth="1"/>
    <col min="14853" max="14853" width="12.42578125" customWidth="1"/>
    <col min="14854" max="14854" width="9.7109375" customWidth="1"/>
    <col min="14855" max="14855" width="12" customWidth="1"/>
    <col min="14856" max="14856" width="13.28515625" customWidth="1"/>
    <col min="14857" max="14857" width="11.140625" customWidth="1"/>
    <col min="14858" max="14862" width="0" hidden="1" customWidth="1"/>
    <col min="15105" max="15105" width="3.85546875" bestFit="1" customWidth="1"/>
    <col min="15106" max="15106" width="61.5703125" customWidth="1"/>
    <col min="15107" max="15107" width="10" customWidth="1"/>
    <col min="15108" max="15108" width="11.85546875" customWidth="1"/>
    <col min="15109" max="15109" width="12.42578125" customWidth="1"/>
    <col min="15110" max="15110" width="9.7109375" customWidth="1"/>
    <col min="15111" max="15111" width="12" customWidth="1"/>
    <col min="15112" max="15112" width="13.28515625" customWidth="1"/>
    <col min="15113" max="15113" width="11.140625" customWidth="1"/>
    <col min="15114" max="15118" width="0" hidden="1" customWidth="1"/>
    <col min="15361" max="15361" width="3.85546875" bestFit="1" customWidth="1"/>
    <col min="15362" max="15362" width="61.5703125" customWidth="1"/>
    <col min="15363" max="15363" width="10" customWidth="1"/>
    <col min="15364" max="15364" width="11.85546875" customWidth="1"/>
    <col min="15365" max="15365" width="12.42578125" customWidth="1"/>
    <col min="15366" max="15366" width="9.7109375" customWidth="1"/>
    <col min="15367" max="15367" width="12" customWidth="1"/>
    <col min="15368" max="15368" width="13.28515625" customWidth="1"/>
    <col min="15369" max="15369" width="11.140625" customWidth="1"/>
    <col min="15370" max="15374" width="0" hidden="1" customWidth="1"/>
    <col min="15617" max="15617" width="3.85546875" bestFit="1" customWidth="1"/>
    <col min="15618" max="15618" width="61.5703125" customWidth="1"/>
    <col min="15619" max="15619" width="10" customWidth="1"/>
    <col min="15620" max="15620" width="11.85546875" customWidth="1"/>
    <col min="15621" max="15621" width="12.42578125" customWidth="1"/>
    <col min="15622" max="15622" width="9.7109375" customWidth="1"/>
    <col min="15623" max="15623" width="12" customWidth="1"/>
    <col min="15624" max="15624" width="13.28515625" customWidth="1"/>
    <col min="15625" max="15625" width="11.140625" customWidth="1"/>
    <col min="15626" max="15630" width="0" hidden="1" customWidth="1"/>
    <col min="15873" max="15873" width="3.85546875" bestFit="1" customWidth="1"/>
    <col min="15874" max="15874" width="61.5703125" customWidth="1"/>
    <col min="15875" max="15875" width="10" customWidth="1"/>
    <col min="15876" max="15876" width="11.85546875" customWidth="1"/>
    <col min="15877" max="15877" width="12.42578125" customWidth="1"/>
    <col min="15878" max="15878" width="9.7109375" customWidth="1"/>
    <col min="15879" max="15879" width="12" customWidth="1"/>
    <col min="15880" max="15880" width="13.28515625" customWidth="1"/>
    <col min="15881" max="15881" width="11.140625" customWidth="1"/>
    <col min="15882" max="15886" width="0" hidden="1" customWidth="1"/>
    <col min="16129" max="16129" width="3.85546875" bestFit="1" customWidth="1"/>
    <col min="16130" max="16130" width="61.5703125" customWidth="1"/>
    <col min="16131" max="16131" width="10" customWidth="1"/>
    <col min="16132" max="16132" width="11.85546875" customWidth="1"/>
    <col min="16133" max="16133" width="12.42578125" customWidth="1"/>
    <col min="16134" max="16134" width="9.7109375" customWidth="1"/>
    <col min="16135" max="16135" width="12" customWidth="1"/>
    <col min="16136" max="16136" width="13.28515625" customWidth="1"/>
    <col min="16137" max="16137" width="11.140625" customWidth="1"/>
    <col min="16138" max="16142" width="0" hidden="1" customWidth="1"/>
  </cols>
  <sheetData>
    <row r="1" spans="1:11" ht="48" customHeight="1">
      <c r="A1" s="282" t="str">
        <f>'2020 г. для давлат (2'!A1:I1</f>
        <v>О выполнении параметров Бизнес плана за  2020 год.</v>
      </c>
      <c r="B1" s="283"/>
      <c r="C1" s="283"/>
      <c r="D1" s="283"/>
      <c r="E1" s="283"/>
      <c r="F1" s="283"/>
      <c r="G1" s="283"/>
      <c r="H1" s="283"/>
      <c r="I1" s="284"/>
      <c r="J1" s="1"/>
      <c r="K1">
        <f>8183508+115914+111083+8065006+3950803</f>
        <v>20426314</v>
      </c>
    </row>
    <row r="2" spans="1:11" ht="17.25" customHeight="1">
      <c r="A2" s="285" t="s">
        <v>0</v>
      </c>
      <c r="B2" s="287" t="s">
        <v>1</v>
      </c>
      <c r="C2" s="287" t="s">
        <v>2</v>
      </c>
      <c r="D2" s="288" t="str">
        <f>'2020 г. для давлат (2'!D2:G2</f>
        <v>за 2020 год.</v>
      </c>
      <c r="E2" s="289"/>
      <c r="F2" s="289"/>
      <c r="G2" s="289"/>
      <c r="H2" s="290" t="str">
        <f>'2020 г. для давлат (2'!H2:H3</f>
        <v>за  2019 год.</v>
      </c>
      <c r="I2" s="288" t="s">
        <v>3</v>
      </c>
    </row>
    <row r="3" spans="1:11" ht="22.5" customHeight="1">
      <c r="A3" s="286"/>
      <c r="B3" s="287"/>
      <c r="C3" s="287"/>
      <c r="D3" s="167" t="s">
        <v>4</v>
      </c>
      <c r="E3" s="166" t="s">
        <v>5</v>
      </c>
      <c r="F3" s="166" t="s">
        <v>6</v>
      </c>
      <c r="G3" s="166" t="s">
        <v>7</v>
      </c>
      <c r="H3" s="290"/>
      <c r="I3" s="288"/>
    </row>
    <row r="4" spans="1:11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1" ht="15.75">
      <c r="A5" s="2" t="s">
        <v>9</v>
      </c>
      <c r="B5" s="3" t="s">
        <v>10</v>
      </c>
      <c r="C5" s="169" t="s">
        <v>11</v>
      </c>
      <c r="D5" s="5">
        <f>D8+D9+D7</f>
        <v>4240</v>
      </c>
      <c r="E5" s="5">
        <f>E8+E9+E7</f>
        <v>3869.375</v>
      </c>
      <c r="F5" s="5">
        <f>ROUND(E5/D5*100,1)</f>
        <v>91.3</v>
      </c>
      <c r="G5" s="5">
        <f>E5-D5</f>
        <v>-370.625</v>
      </c>
      <c r="H5" s="85">
        <v>3807.6</v>
      </c>
      <c r="I5" s="6">
        <f>IF(H5&gt;0,ROUND(E5/H5*100,1),0)</f>
        <v>101.6</v>
      </c>
    </row>
    <row r="6" spans="1:11" ht="15.75" customHeight="1">
      <c r="A6" s="2"/>
      <c r="B6" s="2" t="s">
        <v>12</v>
      </c>
      <c r="C6" s="2"/>
      <c r="F6" s="7"/>
      <c r="G6" s="7"/>
      <c r="H6" s="86"/>
      <c r="I6" s="7"/>
    </row>
    <row r="7" spans="1:11" ht="15.75">
      <c r="A7" s="2"/>
      <c r="B7" s="8" t="s">
        <v>13</v>
      </c>
      <c r="C7" s="2" t="s">
        <v>11</v>
      </c>
      <c r="D7" s="87">
        <f>'2020 г. для давлат (2'!D7</f>
        <v>3786</v>
      </c>
      <c r="E7" s="87">
        <f>'2020 г. для давлат (2'!E7</f>
        <v>3349.4349999999999</v>
      </c>
      <c r="F7" s="7">
        <f>ROUND(E7/D7*100,1)</f>
        <v>88.5</v>
      </c>
      <c r="G7" s="7">
        <f>E7-D7</f>
        <v>-436.56500000000005</v>
      </c>
      <c r="H7" s="86">
        <v>3395.5</v>
      </c>
      <c r="I7" s="9">
        <f>IF(H7&gt;0,ROUND(E8/H7*100,1),0)</f>
        <v>1.9</v>
      </c>
    </row>
    <row r="8" spans="1:11" ht="15.75">
      <c r="A8" s="2"/>
      <c r="B8" s="8" t="s">
        <v>14</v>
      </c>
      <c r="C8" s="2" t="s">
        <v>11</v>
      </c>
      <c r="D8" s="87">
        <f>'2020 г. для давлат (2'!D8</f>
        <v>54</v>
      </c>
      <c r="E8" s="87">
        <f>'2020 г. для давлат (2'!E8</f>
        <v>63.905000000000001</v>
      </c>
      <c r="F8" s="7">
        <f>ROUND(E8/D8*100,1)</f>
        <v>118.3</v>
      </c>
      <c r="G8" s="7">
        <f>E8-D8</f>
        <v>9.9050000000000011</v>
      </c>
      <c r="H8" s="86">
        <v>57</v>
      </c>
      <c r="I8" s="9">
        <f>IF(H8&gt;0,ROUND(E9/H8*100,1),0)</f>
        <v>800.1</v>
      </c>
    </row>
    <row r="9" spans="1:11" ht="15.75">
      <c r="A9" s="2"/>
      <c r="B9" s="8" t="s">
        <v>15</v>
      </c>
      <c r="C9" s="2" t="s">
        <v>11</v>
      </c>
      <c r="D9" s="87">
        <f>'2020 г. для давлат (2'!D9</f>
        <v>400</v>
      </c>
      <c r="E9" s="87">
        <f>'2020 г. для давлат (2'!E9</f>
        <v>456.03500000000003</v>
      </c>
      <c r="F9" s="7">
        <f>ROUND(E9/D9*100,1)</f>
        <v>114</v>
      </c>
      <c r="G9" s="7">
        <f>E9-D9</f>
        <v>56.035000000000025</v>
      </c>
      <c r="H9" s="86">
        <v>355.1</v>
      </c>
      <c r="I9" s="9">
        <f>IF(H9&gt;0,ROUND(E10/H9*100,1),0)</f>
        <v>105.2</v>
      </c>
    </row>
    <row r="10" spans="1:11" ht="15.75">
      <c r="A10" s="2" t="s">
        <v>16</v>
      </c>
      <c r="B10" s="3" t="s">
        <v>17</v>
      </c>
      <c r="C10" s="168" t="s">
        <v>11</v>
      </c>
      <c r="D10" s="171">
        <f>'2020 г. для давлат (2'!D10</f>
        <v>450</v>
      </c>
      <c r="E10" s="171">
        <f>'2020 г. для давлат (2'!E10</f>
        <v>373.43899999999996</v>
      </c>
      <c r="F10" s="89">
        <f>ROUND(E10/D10*100,1)</f>
        <v>83</v>
      </c>
      <c r="G10" s="89">
        <f>E10-D10</f>
        <v>-76.561000000000035</v>
      </c>
      <c r="H10" s="6">
        <v>377.2</v>
      </c>
      <c r="I10" s="9">
        <f>IF(H10&gt;0,ROUND(E10/H10*100,1),0)</f>
        <v>99</v>
      </c>
    </row>
    <row r="11" spans="1:11" ht="17.25" customHeight="1">
      <c r="A11" s="2"/>
      <c r="B11" s="2" t="s">
        <v>12</v>
      </c>
      <c r="C11" s="2"/>
      <c r="D11" s="87">
        <f>'2020 г. для давлат (2'!D11</f>
        <v>0</v>
      </c>
      <c r="E11" s="87">
        <f>'2020 г. для давлат (2'!E11</f>
        <v>0</v>
      </c>
      <c r="F11" s="7"/>
      <c r="G11" s="7"/>
      <c r="H11" s="86"/>
      <c r="I11" s="9">
        <f>IF(H11&gt;0,ROUND(E11/H11*100,1),0)</f>
        <v>0</v>
      </c>
    </row>
    <row r="12" spans="1:11" ht="15.75">
      <c r="A12" s="2"/>
      <c r="B12" s="8" t="s">
        <v>18</v>
      </c>
      <c r="C12" s="2" t="s">
        <v>11</v>
      </c>
      <c r="D12" s="87">
        <f>'2020 г. для давлат (2'!D12</f>
        <v>200</v>
      </c>
      <c r="E12" s="87">
        <f>'2020 г. для давлат (2'!E12</f>
        <v>172.26599999999999</v>
      </c>
      <c r="F12" s="7">
        <f>ROUND(E12/D12*100,1)</f>
        <v>86.1</v>
      </c>
      <c r="G12" s="7">
        <f>E12-D12</f>
        <v>-27.734000000000009</v>
      </c>
      <c r="H12" s="86">
        <v>102.5</v>
      </c>
      <c r="I12" s="9">
        <f>IF(H12&gt;0,ROUND(E12/H12*100,1),0)</f>
        <v>168.1</v>
      </c>
    </row>
    <row r="13" spans="1:11" ht="15.75">
      <c r="A13" s="2"/>
      <c r="B13" s="8" t="s">
        <v>19</v>
      </c>
      <c r="C13" s="2" t="s">
        <v>11</v>
      </c>
      <c r="D13" s="87">
        <f>'2020 г. для давлат (2'!D13</f>
        <v>250</v>
      </c>
      <c r="E13" s="87">
        <f>'2020 г. для давлат (2'!E13</f>
        <v>201.173</v>
      </c>
      <c r="F13" s="7">
        <f>ROUND(E13/D13*100,1)</f>
        <v>80.5</v>
      </c>
      <c r="G13" s="7">
        <f>E13-D13</f>
        <v>-48.826999999999998</v>
      </c>
      <c r="H13" s="86">
        <v>274.7</v>
      </c>
      <c r="I13" s="9">
        <f>IF(H13&gt;0,ROUND(E13/H13*100,1),0)</f>
        <v>73.2</v>
      </c>
    </row>
    <row r="14" spans="1:11" ht="15.75">
      <c r="A14" s="2" t="s">
        <v>20</v>
      </c>
      <c r="B14" s="3" t="s">
        <v>21</v>
      </c>
      <c r="C14" s="169" t="s">
        <v>11</v>
      </c>
      <c r="D14" s="171">
        <f>'2020 г. для давлат (2'!D14</f>
        <v>4289.3999999999996</v>
      </c>
      <c r="E14" s="171">
        <f>'2020 г. для давлат (2'!E14</f>
        <v>3885.4770000000003</v>
      </c>
      <c r="F14" s="5">
        <f>ROUND(E14/D14*100,1)</f>
        <v>90.6</v>
      </c>
      <c r="G14" s="89">
        <f>E14-D14</f>
        <v>-403.92299999999932</v>
      </c>
      <c r="H14" s="6">
        <v>3964.3999999999996</v>
      </c>
      <c r="I14" s="10">
        <f>IF(H14&gt;0,ROUND(E14/H14*100,1),0)</f>
        <v>98</v>
      </c>
      <c r="J14" t="s">
        <v>22</v>
      </c>
    </row>
    <row r="15" spans="1:11" ht="18" customHeight="1">
      <c r="A15" s="2"/>
      <c r="B15" s="2" t="s">
        <v>12</v>
      </c>
      <c r="C15" s="2"/>
      <c r="D15" s="87">
        <f>'2020 г. для давлат (2'!D15</f>
        <v>0</v>
      </c>
      <c r="E15" s="87">
        <f>'2020 г. для давлат (2'!E15</f>
        <v>0</v>
      </c>
      <c r="F15" s="7"/>
      <c r="G15" s="7"/>
      <c r="H15" s="86"/>
      <c r="I15" s="7"/>
    </row>
    <row r="16" spans="1:11" ht="15.75">
      <c r="A16" s="2"/>
      <c r="B16" s="8" t="s">
        <v>13</v>
      </c>
      <c r="C16" s="2" t="s">
        <v>11</v>
      </c>
      <c r="D16" s="87">
        <f>'2020 г. для давлат (2'!D16</f>
        <v>3835.4</v>
      </c>
      <c r="E16" s="87">
        <f>'2020 г. для давлат (2'!E16</f>
        <v>3445.7130000000002</v>
      </c>
      <c r="F16" s="7">
        <f>ROUND(E16/D16*100,1)</f>
        <v>89.8</v>
      </c>
      <c r="G16" s="7">
        <f>E16-D16</f>
        <v>-389.6869999999999</v>
      </c>
      <c r="H16" s="86">
        <v>3592.7</v>
      </c>
      <c r="I16" s="9">
        <f>IF(H16&gt;0,ROUND(E16/H16*100,1),0)</f>
        <v>95.9</v>
      </c>
      <c r="J16" t="s">
        <v>22</v>
      </c>
    </row>
    <row r="17" spans="1:12" ht="15.75">
      <c r="A17" s="2"/>
      <c r="B17" s="8" t="s">
        <v>14</v>
      </c>
      <c r="C17" s="2" t="s">
        <v>11</v>
      </c>
      <c r="D17" s="87">
        <f>'2020 г. для давлат (2'!D17</f>
        <v>54</v>
      </c>
      <c r="E17" s="87">
        <f>'2020 г. для давлат (2'!E17</f>
        <v>52.996000000000002</v>
      </c>
      <c r="F17" s="7">
        <f>ROUND(E17/D17*100,1)</f>
        <v>98.1</v>
      </c>
      <c r="G17" s="7">
        <f>E17-D17</f>
        <v>-1.0039999999999978</v>
      </c>
      <c r="H17" s="86">
        <v>57</v>
      </c>
      <c r="I17" s="9">
        <f>IF(H17&gt;0,ROUND(E17/H17*100,1),0)</f>
        <v>93</v>
      </c>
      <c r="J17" t="s">
        <v>22</v>
      </c>
    </row>
    <row r="18" spans="1:12" ht="15.75">
      <c r="A18" s="2"/>
      <c r="B18" s="8" t="s">
        <v>15</v>
      </c>
      <c r="C18" s="2" t="s">
        <v>11</v>
      </c>
      <c r="D18" s="87">
        <f>'2020 г. для давлат (2'!D18</f>
        <v>400</v>
      </c>
      <c r="E18" s="87">
        <f>'2020 г. для давлат (2'!E18</f>
        <v>386.76799999999997</v>
      </c>
      <c r="F18" s="7">
        <f>ROUND(E18/D18*100,1)</f>
        <v>96.7</v>
      </c>
      <c r="G18" s="7">
        <f>E18-D18</f>
        <v>-13.232000000000028</v>
      </c>
      <c r="H18" s="86">
        <v>314.7</v>
      </c>
      <c r="I18" s="9">
        <f>IF(H18&gt;0,ROUND(E18/H18*100,1),0)</f>
        <v>122.9</v>
      </c>
    </row>
    <row r="19" spans="1:12" ht="18.75">
      <c r="A19" s="2" t="s">
        <v>23</v>
      </c>
      <c r="B19" s="3" t="s">
        <v>24</v>
      </c>
      <c r="C19" s="169" t="s">
        <v>25</v>
      </c>
      <c r="D19" s="171">
        <f>'2020 г. для давлат (2'!D19</f>
        <v>27600</v>
      </c>
      <c r="E19" s="171">
        <f>'2020 г. для давлат (2'!E19</f>
        <v>23015.638999999999</v>
      </c>
      <c r="F19" s="89">
        <f>ROUND(E19/D19*100,1)</f>
        <v>83.4</v>
      </c>
      <c r="G19" s="89">
        <f>E19-D19</f>
        <v>-4584.3610000000008</v>
      </c>
      <c r="H19" s="6">
        <v>20442.5</v>
      </c>
      <c r="I19" s="10">
        <f>IF(H19&gt;0,ROUND(E19/H19*100,1),0)</f>
        <v>112.6</v>
      </c>
      <c r="J19" t="s">
        <v>22</v>
      </c>
    </row>
    <row r="20" spans="1:12" ht="15.75">
      <c r="A20" s="2"/>
      <c r="B20" s="3" t="s">
        <v>26</v>
      </c>
      <c r="C20" s="2"/>
      <c r="D20" s="87">
        <f>'2020 г. для давлат (2'!D20</f>
        <v>0</v>
      </c>
      <c r="E20" s="87">
        <f>'2020 г. для давлат (2'!E20</f>
        <v>0</v>
      </c>
      <c r="F20" s="7"/>
      <c r="G20" s="7"/>
      <c r="H20" s="86"/>
      <c r="I20" s="7"/>
      <c r="L20" s="11"/>
    </row>
    <row r="21" spans="1:12" ht="18.75">
      <c r="A21" s="2"/>
      <c r="B21" s="8" t="s">
        <v>27</v>
      </c>
      <c r="C21" s="2" t="s">
        <v>28</v>
      </c>
      <c r="D21" s="87">
        <f>'2020 г. для давлат (2'!D21</f>
        <v>9520</v>
      </c>
      <c r="E21" s="87">
        <f>'2020 г. для давлат (2'!E21</f>
        <v>7560.7790000000005</v>
      </c>
      <c r="F21" s="7">
        <f>ROUND(E21/D21*100,1)</f>
        <v>79.400000000000006</v>
      </c>
      <c r="G21" s="7">
        <f t="shared" ref="G21:G31" si="0">E21-D21</f>
        <v>-1959.2209999999995</v>
      </c>
      <c r="H21" s="86">
        <v>7051.6</v>
      </c>
      <c r="I21" s="9">
        <f t="shared" ref="I21:I28" si="1">IF(H21&gt;0,ROUND(E21/H21*100,1),0)</f>
        <v>107.2</v>
      </c>
      <c r="J21" t="s">
        <v>22</v>
      </c>
    </row>
    <row r="22" spans="1:12" ht="18.75">
      <c r="A22" s="2"/>
      <c r="B22" s="8" t="s">
        <v>29</v>
      </c>
      <c r="C22" s="2" t="s">
        <v>28</v>
      </c>
      <c r="D22" s="87">
        <f>'2020 г. для давлат (2'!D22</f>
        <v>17500</v>
      </c>
      <c r="E22" s="87">
        <f>'2020 г. для давлат (2'!E22</f>
        <v>15345.4</v>
      </c>
      <c r="F22" s="7">
        <f>ROUND(E22/D22*100,1)</f>
        <v>87.7</v>
      </c>
      <c r="G22" s="7">
        <f t="shared" si="0"/>
        <v>-2154.6000000000004</v>
      </c>
      <c r="H22" s="86">
        <v>12120.8</v>
      </c>
      <c r="I22" s="9">
        <f t="shared" si="1"/>
        <v>126.6</v>
      </c>
      <c r="J22" t="s">
        <v>22</v>
      </c>
    </row>
    <row r="23" spans="1:12" ht="18.75">
      <c r="A23" s="2"/>
      <c r="B23" s="8" t="s">
        <v>30</v>
      </c>
      <c r="C23" s="2" t="s">
        <v>28</v>
      </c>
      <c r="D23" s="87">
        <f>'2020 г. для давлат (2'!D23</f>
        <v>0</v>
      </c>
      <c r="E23" s="87">
        <f>'2020 г. для давлат (2'!E23</f>
        <v>0</v>
      </c>
      <c r="F23" s="7"/>
      <c r="G23" s="7">
        <f t="shared" si="0"/>
        <v>0</v>
      </c>
      <c r="H23" s="86"/>
      <c r="I23" s="9">
        <f t="shared" si="1"/>
        <v>0</v>
      </c>
      <c r="J23" t="s">
        <v>22</v>
      </c>
    </row>
    <row r="24" spans="1:12" ht="18.75">
      <c r="A24" s="2"/>
      <c r="B24" s="8" t="s">
        <v>31</v>
      </c>
      <c r="C24" s="2" t="s">
        <v>28</v>
      </c>
      <c r="D24" s="87">
        <f>'2020 г. для давлат (2'!D24</f>
        <v>580</v>
      </c>
      <c r="E24" s="87">
        <f>'2020 г. для давлат (2'!E24</f>
        <v>109.46</v>
      </c>
      <c r="F24" s="7">
        <f t="shared" ref="F24:F29" si="2">ROUND(E24/D24*100,1)</f>
        <v>18.899999999999999</v>
      </c>
      <c r="G24" s="7">
        <f t="shared" si="0"/>
        <v>-470.54</v>
      </c>
      <c r="H24" s="86">
        <v>1270.0999999999999</v>
      </c>
      <c r="I24" s="9">
        <f t="shared" si="1"/>
        <v>8.6</v>
      </c>
      <c r="J24" t="s">
        <v>22</v>
      </c>
    </row>
    <row r="25" spans="1:12" ht="15.75">
      <c r="A25" s="2" t="s">
        <v>32</v>
      </c>
      <c r="B25" s="12" t="s">
        <v>33</v>
      </c>
      <c r="C25" s="13" t="s">
        <v>34</v>
      </c>
      <c r="D25" s="87">
        <f>'2020 г. для давлат (2'!D25</f>
        <v>963</v>
      </c>
      <c r="E25" s="87">
        <f>'2020 г. для давлат (2'!E25</f>
        <v>1411</v>
      </c>
      <c r="F25" s="7">
        <f t="shared" si="2"/>
        <v>146.5</v>
      </c>
      <c r="G25" s="9">
        <f t="shared" si="0"/>
        <v>448</v>
      </c>
      <c r="H25" s="86">
        <v>1555.5</v>
      </c>
      <c r="I25" s="9">
        <f t="shared" si="1"/>
        <v>90.7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87">
        <f>'2020 г. для давлат (2'!D26</f>
        <v>658906.65800000005</v>
      </c>
      <c r="E26" s="87">
        <f>'2020 г. для давлат (2'!E26</f>
        <v>609142.06900000002</v>
      </c>
      <c r="F26" s="9">
        <f t="shared" si="2"/>
        <v>92.4</v>
      </c>
      <c r="G26" s="9">
        <f t="shared" si="0"/>
        <v>-49764.589000000036</v>
      </c>
      <c r="H26" s="86">
        <v>456580.1</v>
      </c>
      <c r="I26" s="18">
        <f t="shared" si="1"/>
        <v>133.4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208</v>
      </c>
      <c r="C27" s="17" t="s">
        <v>37</v>
      </c>
      <c r="D27" s="87">
        <f>'2020 г. для давлат (2'!D27</f>
        <v>4718.49</v>
      </c>
      <c r="E27" s="87">
        <f>'2020 г. для давлат (2'!E27</f>
        <v>110.31399999999999</v>
      </c>
      <c r="F27" s="9">
        <f>ROUND(E27/D27*100,1)</f>
        <v>2.2999999999999998</v>
      </c>
      <c r="G27" s="9">
        <f t="shared" si="0"/>
        <v>-4608.1759999999995</v>
      </c>
      <c r="H27" s="86">
        <v>398.2</v>
      </c>
      <c r="I27" s="18">
        <f t="shared" si="1"/>
        <v>27.7</v>
      </c>
      <c r="J27" t="s">
        <v>22</v>
      </c>
      <c r="K27"/>
    </row>
    <row r="28" spans="1:12" ht="31.5">
      <c r="A28" s="2" t="s">
        <v>39</v>
      </c>
      <c r="B28" s="137" t="s">
        <v>40</v>
      </c>
      <c r="C28" s="17" t="s">
        <v>37</v>
      </c>
      <c r="D28" s="87">
        <f>'2020 г. для давлат (2'!D28</f>
        <v>124407.399</v>
      </c>
      <c r="E28" s="87">
        <f>'2020 г. для давлат (2'!E28</f>
        <v>206834.7</v>
      </c>
      <c r="F28" s="156">
        <f t="shared" si="2"/>
        <v>166.3</v>
      </c>
      <c r="G28" s="9">
        <f t="shared" si="0"/>
        <v>82427.301000000007</v>
      </c>
      <c r="H28" s="86">
        <v>21077.200000000001</v>
      </c>
      <c r="I28" s="157">
        <f t="shared" si="1"/>
        <v>981.3</v>
      </c>
      <c r="J28" t="s">
        <v>22</v>
      </c>
    </row>
    <row r="29" spans="1:12" ht="19.5" customHeight="1">
      <c r="A29" s="13" t="s">
        <v>41</v>
      </c>
      <c r="B29" s="21" t="s">
        <v>42</v>
      </c>
      <c r="C29" s="17" t="s">
        <v>37</v>
      </c>
      <c r="D29" s="87">
        <f>'2020 г. для давлат (2'!D29</f>
        <v>6000</v>
      </c>
      <c r="E29" s="87">
        <f>'2020 г. для давлат (2'!E29</f>
        <v>6003.2</v>
      </c>
      <c r="F29" s="9">
        <f t="shared" si="2"/>
        <v>100.1</v>
      </c>
      <c r="G29" s="9">
        <f t="shared" si="0"/>
        <v>3.1999999999998181</v>
      </c>
      <c r="H29" s="86">
        <v>5218</v>
      </c>
      <c r="I29" s="9">
        <f>IF(H29&gt;0,ROUND(E29/H29*100,1),0)</f>
        <v>115</v>
      </c>
      <c r="J29" t="s">
        <v>22</v>
      </c>
    </row>
    <row r="30" spans="1:12" ht="21.75" customHeight="1">
      <c r="A30" s="291" t="s">
        <v>43</v>
      </c>
      <c r="B30" s="292"/>
      <c r="C30" s="292"/>
      <c r="D30" s="292"/>
      <c r="E30" s="292"/>
      <c r="F30" s="292"/>
      <c r="G30" s="292"/>
      <c r="H30" s="292"/>
      <c r="I30" s="292"/>
    </row>
    <row r="31" spans="1:12" ht="24" hidden="1" customHeight="1" outlineLevel="1">
      <c r="A31" s="13" t="s">
        <v>44</v>
      </c>
      <c r="B31" s="93" t="s">
        <v>209</v>
      </c>
      <c r="C31" s="17" t="s">
        <v>37</v>
      </c>
      <c r="D31" s="22"/>
      <c r="E31" s="14"/>
      <c r="F31" s="23"/>
      <c r="G31" s="18">
        <f t="shared" si="0"/>
        <v>0</v>
      </c>
      <c r="H31" s="14">
        <f>0.495*1000</f>
        <v>495</v>
      </c>
      <c r="I31" s="18">
        <f>IF(H31&gt;0,ROUND(E31/H31*100,1),0)</f>
        <v>0</v>
      </c>
      <c r="J31" s="24" t="s">
        <v>46</v>
      </c>
    </row>
    <row r="32" spans="1:12" ht="15.75" hidden="1" outlineLevel="1">
      <c r="A32" s="2" t="s">
        <v>47</v>
      </c>
      <c r="B32" s="12" t="s">
        <v>48</v>
      </c>
      <c r="C32" s="17" t="s">
        <v>37</v>
      </c>
      <c r="D32" s="22"/>
      <c r="E32" s="94"/>
      <c r="F32" s="23"/>
      <c r="G32" s="25"/>
      <c r="H32" s="18"/>
      <c r="I32" s="18">
        <f>IF(H32&gt;0,ROUND(E32/H32*100,1),0)</f>
        <v>0</v>
      </c>
    </row>
    <row r="33" spans="1:11" ht="15.75" collapsed="1">
      <c r="A33" s="2" t="s">
        <v>49</v>
      </c>
      <c r="B33" s="3" t="s">
        <v>50</v>
      </c>
      <c r="C33" s="17" t="s">
        <v>37</v>
      </c>
      <c r="D33" s="26">
        <f>D35+D39+D40+D41+D42+D43+D45+D44</f>
        <v>117893.29169689574</v>
      </c>
      <c r="E33" s="26">
        <f>E35+E39+E40+E41+E42+E43+E45+E44</f>
        <v>146958</v>
      </c>
      <c r="F33" s="26">
        <f>ROUND(E33/D33*100,1)</f>
        <v>124.7</v>
      </c>
      <c r="G33" s="26">
        <f t="shared" ref="G33:G44" si="3">E33-D33</f>
        <v>29064.708303104257</v>
      </c>
      <c r="H33" s="26">
        <v>-25527.299999999945</v>
      </c>
      <c r="I33" s="26">
        <f>IF(H33&gt;0,ROUND(E33/H33*100,1),0)</f>
        <v>0</v>
      </c>
      <c r="J33" t="s">
        <v>51</v>
      </c>
    </row>
    <row r="34" spans="1:11" ht="15.75">
      <c r="A34" s="2"/>
      <c r="B34" s="162" t="s">
        <v>52</v>
      </c>
      <c r="C34" s="17" t="s">
        <v>37</v>
      </c>
      <c r="D34" s="95">
        <f>'2020 г. для давлат (2'!D34</f>
        <v>0</v>
      </c>
      <c r="E34" s="95">
        <f>'2020 г. для давлат (2'!E34</f>
        <v>0</v>
      </c>
      <c r="F34" s="27"/>
      <c r="G34" s="27">
        <f t="shared" si="3"/>
        <v>0</v>
      </c>
      <c r="H34" s="28"/>
      <c r="I34" s="28"/>
    </row>
    <row r="35" spans="1:11" ht="15.75">
      <c r="A35" s="2"/>
      <c r="B35" s="163" t="s">
        <v>53</v>
      </c>
      <c r="C35" s="17" t="s">
        <v>37</v>
      </c>
      <c r="D35" s="27">
        <f>D37+D38</f>
        <v>72.991696895736155</v>
      </c>
      <c r="E35" s="28">
        <f>E37+E38</f>
        <v>0</v>
      </c>
      <c r="F35" s="28">
        <f>ROUND(E35/D35*100,1)</f>
        <v>0</v>
      </c>
      <c r="G35" s="27">
        <f t="shared" si="3"/>
        <v>-72.991696895736155</v>
      </c>
      <c r="H35" s="86">
        <v>-79745.099999999948</v>
      </c>
      <c r="I35" s="28">
        <f>IF(H35&gt;0,ROUND(E35/H35*100,1),0)</f>
        <v>0</v>
      </c>
      <c r="J35" t="s">
        <v>51</v>
      </c>
    </row>
    <row r="36" spans="1:11" ht="15.75">
      <c r="A36" s="2"/>
      <c r="B36" s="163" t="s">
        <v>54</v>
      </c>
      <c r="C36" s="17" t="s">
        <v>37</v>
      </c>
      <c r="D36" s="95">
        <f>'2020 г. для давлат (2'!D36</f>
        <v>0</v>
      </c>
      <c r="E36" s="95">
        <f>'2020 г. для давлат (2'!E36</f>
        <v>0</v>
      </c>
      <c r="F36" s="28"/>
      <c r="G36" s="27"/>
      <c r="H36" s="86"/>
      <c r="I36" s="28"/>
    </row>
    <row r="37" spans="1:11" ht="15.75">
      <c r="A37" s="2"/>
      <c r="B37" s="164" t="s">
        <v>55</v>
      </c>
      <c r="C37" s="17" t="s">
        <v>37</v>
      </c>
      <c r="D37" s="95">
        <f>'2020 г. для давлат (2'!D37</f>
        <v>0</v>
      </c>
      <c r="E37" s="95">
        <f>'2020 г. для давлат (2'!E37</f>
        <v>0</v>
      </c>
      <c r="F37" s="28"/>
      <c r="G37" s="27"/>
      <c r="H37" s="86"/>
      <c r="I37" s="28"/>
    </row>
    <row r="38" spans="1:11" ht="15.75">
      <c r="A38" s="2"/>
      <c r="B38" s="164" t="s">
        <v>56</v>
      </c>
      <c r="C38" s="17" t="s">
        <v>37</v>
      </c>
      <c r="D38" s="172">
        <f>D96</f>
        <v>72.991696895736155</v>
      </c>
      <c r="E38" s="97"/>
      <c r="F38" s="28">
        <f>ROUND(E38/D38*100,1)</f>
        <v>0</v>
      </c>
      <c r="G38" s="27">
        <f t="shared" si="3"/>
        <v>-72.991696895736155</v>
      </c>
      <c r="H38" s="86">
        <v>-79745.099999999948</v>
      </c>
      <c r="I38" s="28"/>
    </row>
    <row r="39" spans="1:11" ht="15.75">
      <c r="A39" s="2"/>
      <c r="B39" s="163" t="s">
        <v>57</v>
      </c>
      <c r="C39" s="17" t="s">
        <v>37</v>
      </c>
      <c r="D39" s="95">
        <f>'2020 г. для давлат (2'!D39</f>
        <v>117820.3</v>
      </c>
      <c r="E39" s="97">
        <f>'2020 г. для давлат (2'!E39</f>
        <v>146958</v>
      </c>
      <c r="F39" s="28">
        <f>ROUND(E39/D39*100,1)</f>
        <v>124.7</v>
      </c>
      <c r="G39" s="27">
        <f t="shared" si="3"/>
        <v>29137.699999999997</v>
      </c>
      <c r="H39" s="86"/>
      <c r="I39" s="28">
        <f>IF(H39&gt;0,ROUND(E39/H39*100,1),0)</f>
        <v>0</v>
      </c>
      <c r="J39" t="s">
        <v>58</v>
      </c>
      <c r="K39" s="95">
        <v>34799.205999999998</v>
      </c>
    </row>
    <row r="40" spans="1:11" ht="15.75">
      <c r="A40" s="2"/>
      <c r="B40" s="165" t="s">
        <v>59</v>
      </c>
      <c r="C40" s="17" t="s">
        <v>37</v>
      </c>
      <c r="D40" s="99">
        <f>'2020 г. для давлат (2'!D40</f>
        <v>0</v>
      </c>
      <c r="E40" s="97">
        <f>'2020 г. для давлат (2'!E40</f>
        <v>0</v>
      </c>
      <c r="F40" s="27"/>
      <c r="G40" s="27">
        <f t="shared" si="3"/>
        <v>0</v>
      </c>
      <c r="H40" s="28"/>
      <c r="I40" s="28"/>
    </row>
    <row r="41" spans="1:11" ht="33.75" customHeight="1">
      <c r="A41" s="100"/>
      <c r="B41" s="165" t="s">
        <v>60</v>
      </c>
      <c r="C41" s="17" t="s">
        <v>37</v>
      </c>
      <c r="D41" s="95">
        <f>'2020 г. для давлат (2'!D41</f>
        <v>0</v>
      </c>
      <c r="E41" s="97">
        <f>'2020 г. для давлат (2'!E41</f>
        <v>0</v>
      </c>
      <c r="F41" s="27"/>
      <c r="G41" s="27">
        <f t="shared" si="3"/>
        <v>0</v>
      </c>
      <c r="H41" s="28">
        <v>0</v>
      </c>
      <c r="I41" s="28">
        <f>IF(H41&gt;0,ROUND(E41/H41*100,1),0)</f>
        <v>0</v>
      </c>
      <c r="J41" t="s">
        <v>51</v>
      </c>
    </row>
    <row r="42" spans="1:11" ht="15.75">
      <c r="A42" s="2"/>
      <c r="B42" s="163" t="s">
        <v>61</v>
      </c>
      <c r="C42" s="17" t="s">
        <v>37</v>
      </c>
      <c r="D42" s="91">
        <f>'2020 г. для давлат (2'!D42</f>
        <v>0</v>
      </c>
      <c r="E42" s="14">
        <f>'2020 г. для давлат (2'!E42</f>
        <v>0</v>
      </c>
      <c r="F42" s="23"/>
      <c r="G42" s="27">
        <f t="shared" si="3"/>
        <v>0</v>
      </c>
      <c r="H42" s="18"/>
      <c r="I42" s="18"/>
    </row>
    <row r="43" spans="1:11" ht="15.75">
      <c r="A43" s="2"/>
      <c r="B43" s="165" t="s">
        <v>62</v>
      </c>
      <c r="C43" s="17" t="s">
        <v>37</v>
      </c>
      <c r="D43" s="91">
        <f>'2020 г. для давлат (2'!D43</f>
        <v>0</v>
      </c>
      <c r="E43" s="14">
        <f>'2020 г. для давлат (2'!E43</f>
        <v>0</v>
      </c>
      <c r="F43" s="18"/>
      <c r="G43" s="27">
        <f t="shared" si="3"/>
        <v>0</v>
      </c>
      <c r="H43" s="18"/>
      <c r="I43" s="18"/>
    </row>
    <row r="44" spans="1:11" ht="15.75">
      <c r="A44" s="2"/>
      <c r="B44" s="165" t="s">
        <v>63</v>
      </c>
      <c r="C44" s="17" t="s">
        <v>37</v>
      </c>
      <c r="D44" s="91">
        <f>'2020 г. для давлат (2'!D44</f>
        <v>0</v>
      </c>
      <c r="E44" s="101">
        <f>'2020 г. для давлат (2'!E44</f>
        <v>0</v>
      </c>
      <c r="F44" s="18"/>
      <c r="G44" s="27">
        <f t="shared" si="3"/>
        <v>0</v>
      </c>
      <c r="H44" s="86">
        <v>54217.8</v>
      </c>
      <c r="I44" s="18"/>
    </row>
    <row r="45" spans="1:11" ht="15.75" customHeight="1">
      <c r="A45" s="2"/>
      <c r="B45" s="163" t="s">
        <v>64</v>
      </c>
      <c r="C45" s="17" t="s">
        <v>37</v>
      </c>
      <c r="D45" s="91">
        <f>'2020 г. для давлат (2'!D45</f>
        <v>0</v>
      </c>
      <c r="E45" s="14">
        <f>'2020 г. для давлат (2'!E45</f>
        <v>0</v>
      </c>
      <c r="F45" s="18"/>
      <c r="G45" s="18"/>
      <c r="H45" s="18"/>
      <c r="I45" s="18"/>
    </row>
    <row r="46" spans="1:11" ht="47.25" hidden="1" outlineLevel="1">
      <c r="A46" s="2"/>
      <c r="B46" s="12" t="s">
        <v>65</v>
      </c>
      <c r="C46" s="13" t="s">
        <v>37</v>
      </c>
      <c r="D46" s="102"/>
      <c r="E46" s="102"/>
      <c r="F46" s="102"/>
      <c r="G46" s="102">
        <f>E46-D46</f>
        <v>0</v>
      </c>
      <c r="H46" s="102"/>
      <c r="I46" s="102">
        <f>IF(H46&gt;0,ROUND(E46/H46*100,1),0)</f>
        <v>0</v>
      </c>
    </row>
    <row r="47" spans="1:11" ht="15.75" collapsed="1">
      <c r="A47" s="297" t="s">
        <v>66</v>
      </c>
      <c r="B47" s="297"/>
      <c r="C47" s="297"/>
      <c r="D47" s="297"/>
      <c r="E47" s="297"/>
      <c r="F47" s="297"/>
      <c r="G47" s="297"/>
      <c r="H47" s="297"/>
      <c r="I47" s="297"/>
    </row>
    <row r="48" spans="1:11" ht="15.75">
      <c r="A48" s="2" t="s">
        <v>67</v>
      </c>
      <c r="B48" s="3" t="s">
        <v>68</v>
      </c>
      <c r="C48" s="2"/>
      <c r="D48" s="87">
        <f>'2020 г. для давлат (2'!D48</f>
        <v>0</v>
      </c>
      <c r="E48" s="88">
        <f>'2020 г. для давлат (2'!E48</f>
        <v>0</v>
      </c>
      <c r="F48" s="7"/>
      <c r="G48" s="7"/>
      <c r="H48" s="7"/>
      <c r="I48" s="7"/>
    </row>
    <row r="49" spans="1:10" ht="15.75" hidden="1" outlineLevel="1">
      <c r="A49" s="2"/>
      <c r="B49" s="12" t="s">
        <v>69</v>
      </c>
      <c r="C49" s="13" t="s">
        <v>70</v>
      </c>
      <c r="D49" s="103" t="e">
        <f>'2020 г. для давлат (2'!D49</f>
        <v>#VALUE!</v>
      </c>
      <c r="E49" s="104" t="e">
        <f>'2020 г. для давлат (2'!E49</f>
        <v>#VALUE!</v>
      </c>
      <c r="F49" s="102" t="e">
        <f>IF(E49&gt;0,ROUND(E49/D49*100,1),0)</f>
        <v>#VALUE!</v>
      </c>
      <c r="G49" s="102" t="e">
        <f>E49-D49</f>
        <v>#VALUE!</v>
      </c>
      <c r="H49" s="105" t="e">
        <f>H51+H52</f>
        <v>#VALUE!</v>
      </c>
      <c r="I49" s="102" t="e">
        <f>IF(H49&gt;0,ROUND(E49/H49*100,1),0)</f>
        <v>#VALUE!</v>
      </c>
    </row>
    <row r="50" spans="1:10" ht="15.75" hidden="1" outlineLevel="1">
      <c r="A50" s="2"/>
      <c r="B50" s="2" t="s">
        <v>12</v>
      </c>
      <c r="C50" s="13"/>
      <c r="D50" s="103">
        <f>'2020 г. для давлат (2'!D50</f>
        <v>0</v>
      </c>
      <c r="E50" s="104">
        <f>'2020 г. для давлат (2'!E50</f>
        <v>0</v>
      </c>
      <c r="F50" s="105"/>
      <c r="G50" s="105"/>
      <c r="H50" s="105"/>
      <c r="I50" s="105"/>
    </row>
    <row r="51" spans="1:10" ht="15.75" collapsed="1">
      <c r="A51" s="2"/>
      <c r="B51" s="8" t="s">
        <v>71</v>
      </c>
      <c r="C51" s="13" t="s">
        <v>72</v>
      </c>
      <c r="D51" s="91" t="str">
        <f>'2020 г. для давлат (2'!D51</f>
        <v xml:space="preserve"> - </v>
      </c>
      <c r="E51" s="14" t="str">
        <f>'2020 г. для давлат (2'!E51</f>
        <v xml:space="preserve"> - </v>
      </c>
      <c r="F51" s="9" t="s">
        <v>73</v>
      </c>
      <c r="G51" s="9" t="s">
        <v>73</v>
      </c>
      <c r="H51" s="106" t="s">
        <v>73</v>
      </c>
      <c r="I51" s="9" t="s">
        <v>73</v>
      </c>
    </row>
    <row r="52" spans="1:10" ht="15.75" hidden="1" outlineLevel="1">
      <c r="A52" s="2"/>
      <c r="B52" s="12" t="s">
        <v>74</v>
      </c>
      <c r="C52" s="13" t="s">
        <v>70</v>
      </c>
      <c r="D52" s="103">
        <f>'2020 г. для давлат (2'!D52</f>
        <v>0</v>
      </c>
      <c r="E52" s="104">
        <f>'2020 г. для давлат (2'!E52</f>
        <v>0</v>
      </c>
      <c r="F52" s="102"/>
      <c r="G52" s="102"/>
      <c r="H52" s="105"/>
      <c r="I52" s="102">
        <f>IF(H52&gt;0,ROUND(E52/H52*100,1),0)</f>
        <v>0</v>
      </c>
    </row>
    <row r="53" spans="1:10" ht="15.75" hidden="1" outlineLevel="1">
      <c r="A53" s="2"/>
      <c r="B53" s="12" t="s">
        <v>75</v>
      </c>
      <c r="C53" s="13" t="s">
        <v>70</v>
      </c>
      <c r="D53" s="22">
        <f>'2020 г. для давлат (2'!D53</f>
        <v>0</v>
      </c>
      <c r="E53" s="94">
        <f>'2020 г. для давлат (2'!E53</f>
        <v>0</v>
      </c>
      <c r="F53" s="102"/>
      <c r="G53" s="102"/>
      <c r="H53" s="102"/>
      <c r="I53" s="102">
        <f>IF(H53&gt;0,ROUND(E53/H53*100,1),0)</f>
        <v>0</v>
      </c>
    </row>
    <row r="54" spans="1:10" ht="15.75" collapsed="1">
      <c r="A54" s="2" t="s">
        <v>76</v>
      </c>
      <c r="B54" s="3" t="s">
        <v>77</v>
      </c>
      <c r="C54" s="13"/>
      <c r="D54" s="103">
        <f>'2020 г. для давлат (2'!D54</f>
        <v>0</v>
      </c>
      <c r="E54" s="104">
        <f>'2020 г. для давлат (2'!E54</f>
        <v>0</v>
      </c>
      <c r="F54" s="105"/>
      <c r="G54" s="105"/>
      <c r="H54" s="105"/>
      <c r="I54" s="105"/>
    </row>
    <row r="55" spans="1:10" ht="15.75">
      <c r="A55" s="2"/>
      <c r="B55" s="8" t="s">
        <v>78</v>
      </c>
      <c r="C55" s="13" t="s">
        <v>79</v>
      </c>
      <c r="D55" s="91" t="str">
        <f>'2020 г. для давлат (2'!D55</f>
        <v xml:space="preserve"> - </v>
      </c>
      <c r="E55" s="14" t="str">
        <f>'2020 г. для давлат (2'!E55</f>
        <v xml:space="preserve"> - </v>
      </c>
      <c r="F55" s="9" t="s">
        <v>73</v>
      </c>
      <c r="G55" s="9" t="s">
        <v>73</v>
      </c>
      <c r="H55" s="9" t="s">
        <v>73</v>
      </c>
      <c r="I55" s="9" t="s">
        <v>73</v>
      </c>
    </row>
    <row r="56" spans="1:10" ht="15.75" hidden="1" outlineLevel="1">
      <c r="A56" s="2"/>
      <c r="B56" s="12" t="s">
        <v>80</v>
      </c>
      <c r="C56" s="13" t="s">
        <v>81</v>
      </c>
      <c r="D56" s="107"/>
      <c r="E56" s="105"/>
      <c r="F56" s="105"/>
      <c r="G56" s="105"/>
      <c r="H56" s="105"/>
      <c r="I56" s="105"/>
    </row>
    <row r="57" spans="1:10" ht="24.75" hidden="1" customHeight="1" outlineLevel="1">
      <c r="A57" s="2"/>
      <c r="B57" s="12" t="s">
        <v>82</v>
      </c>
      <c r="C57" s="13" t="s">
        <v>81</v>
      </c>
      <c r="D57" s="108">
        <v>0</v>
      </c>
      <c r="E57" s="108"/>
      <c r="F57" s="108"/>
      <c r="G57" s="108"/>
      <c r="H57" s="108"/>
      <c r="I57" s="108"/>
    </row>
    <row r="58" spans="1:10" ht="15.75" collapsed="1">
      <c r="A58" s="298" t="s">
        <v>83</v>
      </c>
      <c r="B58" s="298"/>
      <c r="C58" s="298"/>
      <c r="D58" s="298"/>
      <c r="E58" s="298"/>
      <c r="F58" s="298"/>
      <c r="G58" s="298"/>
      <c r="H58" s="298"/>
      <c r="I58" s="298"/>
    </row>
    <row r="59" spans="1:10" ht="15.75">
      <c r="A59" s="2" t="s">
        <v>84</v>
      </c>
      <c r="B59" s="12" t="s">
        <v>85</v>
      </c>
      <c r="C59" s="13" t="s">
        <v>86</v>
      </c>
      <c r="D59" s="109">
        <f>'2020 г. для давлат (2'!D59</f>
        <v>6314</v>
      </c>
      <c r="E59" s="110">
        <f>'2020 г. для давлат (2'!E59</f>
        <v>6055</v>
      </c>
      <c r="F59" s="28">
        <f>ROUND(E59/D59*100,1)</f>
        <v>95.9</v>
      </c>
      <c r="G59" s="28">
        <f>E59-D59</f>
        <v>-259</v>
      </c>
      <c r="H59" s="86">
        <v>5910</v>
      </c>
      <c r="I59" s="28">
        <f t="shared" ref="I59:I64" si="4">IF(H59&gt;0,ROUND(E59/H59*100,1),0)</f>
        <v>102.5</v>
      </c>
      <c r="J59" t="s">
        <v>87</v>
      </c>
    </row>
    <row r="60" spans="1:10" ht="31.5" hidden="1" outlineLevel="1">
      <c r="A60" s="2" t="s">
        <v>88</v>
      </c>
      <c r="B60" s="12" t="s">
        <v>89</v>
      </c>
      <c r="C60" s="13" t="s">
        <v>90</v>
      </c>
      <c r="D60" s="99">
        <f>'2020 г. для давлат (2'!D60</f>
        <v>0</v>
      </c>
      <c r="E60" s="97">
        <f>'2020 г. для давлат (2'!E60</f>
        <v>0</v>
      </c>
      <c r="F60" s="28" t="e">
        <f>ROUND(E60/D60*100,1)</f>
        <v>#DIV/0!</v>
      </c>
      <c r="G60" s="28"/>
      <c r="H60" s="86"/>
      <c r="I60" s="28">
        <f t="shared" si="4"/>
        <v>0</v>
      </c>
    </row>
    <row r="61" spans="1:10" ht="15.75" collapsed="1">
      <c r="A61" s="2" t="s">
        <v>91</v>
      </c>
      <c r="B61" s="12" t="s">
        <v>92</v>
      </c>
      <c r="C61" s="17" t="s">
        <v>37</v>
      </c>
      <c r="D61" s="111">
        <f>'2020 г. для давлат (2'!D61</f>
        <v>254025.3</v>
      </c>
      <c r="E61" s="112">
        <f>'2020 г. для давлат (2'!E61</f>
        <v>203069.3</v>
      </c>
      <c r="F61" s="28">
        <f>ROUND(E61/D61*100,1)</f>
        <v>79.900000000000006</v>
      </c>
      <c r="G61" s="28">
        <f>E61-D61</f>
        <v>-50956</v>
      </c>
      <c r="H61" s="86">
        <v>158900</v>
      </c>
      <c r="I61" s="28">
        <f t="shared" si="4"/>
        <v>127.8</v>
      </c>
      <c r="J61" t="s">
        <v>87</v>
      </c>
    </row>
    <row r="62" spans="1:10" ht="15.75">
      <c r="A62" s="2" t="s">
        <v>93</v>
      </c>
      <c r="B62" s="12" t="s">
        <v>94</v>
      </c>
      <c r="C62" s="13" t="s">
        <v>95</v>
      </c>
      <c r="D62" s="99">
        <f>'2020 г. для давлат (2'!D62</f>
        <v>3352.7</v>
      </c>
      <c r="E62" s="97">
        <f>'2020 г. для давлат (2'!E62</f>
        <v>2788.6</v>
      </c>
      <c r="F62" s="28">
        <f>ROUND(E62/D62*100,1)</f>
        <v>83.2</v>
      </c>
      <c r="G62" s="28">
        <f>E62-D62</f>
        <v>-564.09999999999991</v>
      </c>
      <c r="H62" s="86">
        <v>2.2000000000000002</v>
      </c>
      <c r="I62" s="28">
        <f t="shared" si="4"/>
        <v>126754.5</v>
      </c>
      <c r="J62" t="s">
        <v>87</v>
      </c>
    </row>
    <row r="63" spans="1:10" ht="15.75">
      <c r="A63" s="2" t="s">
        <v>96</v>
      </c>
      <c r="B63" s="162" t="s">
        <v>97</v>
      </c>
      <c r="C63" s="17" t="s">
        <v>37</v>
      </c>
      <c r="D63" s="91">
        <f>'2020 г. для давлат (2'!D63</f>
        <v>0</v>
      </c>
      <c r="E63" s="14">
        <f>'2020 г. для давлат (2'!E63</f>
        <v>1192285</v>
      </c>
      <c r="F63" s="28"/>
      <c r="G63" s="9"/>
      <c r="H63" s="86">
        <v>1100739</v>
      </c>
      <c r="I63" s="9">
        <f t="shared" si="4"/>
        <v>108.3</v>
      </c>
      <c r="J63" t="s">
        <v>58</v>
      </c>
    </row>
    <row r="64" spans="1:10" ht="15.75" hidden="1" outlineLevel="1">
      <c r="A64" s="2" t="s">
        <v>98</v>
      </c>
      <c r="B64" s="12" t="s">
        <v>99</v>
      </c>
      <c r="C64" s="13" t="s">
        <v>37</v>
      </c>
      <c r="D64" s="113">
        <f>'2020 г. для давлат (2'!D64</f>
        <v>0</v>
      </c>
      <c r="E64" s="114">
        <f>'2020 г. для давлат (2'!E64</f>
        <v>0</v>
      </c>
      <c r="F64" s="115"/>
      <c r="G64" s="113"/>
      <c r="H64" s="86"/>
      <c r="I64" s="115">
        <f t="shared" si="4"/>
        <v>0</v>
      </c>
      <c r="J64" s="31"/>
    </row>
    <row r="65" spans="1:13" ht="15.75" collapsed="1">
      <c r="A65" s="2" t="s">
        <v>100</v>
      </c>
      <c r="B65" s="12" t="s">
        <v>101</v>
      </c>
      <c r="C65" s="13" t="s">
        <v>102</v>
      </c>
      <c r="D65" s="116">
        <f>'2020 г. для давлат (2'!D65</f>
        <v>138574</v>
      </c>
      <c r="E65" s="117">
        <f>'2020 г. для давлат (2'!E65</f>
        <v>142485.34</v>
      </c>
      <c r="F65" s="28">
        <f>ROUND(E65/D65*100,1)</f>
        <v>102.8</v>
      </c>
      <c r="G65" s="28">
        <f>E65-D65</f>
        <v>3911.3399999999965</v>
      </c>
      <c r="H65" s="86">
        <v>125113.86</v>
      </c>
      <c r="I65" s="28">
        <f>ROUND(E65/H65*100,1)</f>
        <v>113.9</v>
      </c>
      <c r="J65" t="s">
        <v>103</v>
      </c>
    </row>
    <row r="66" spans="1:13" ht="15.75" hidden="1" outlineLevel="1">
      <c r="A66" s="2"/>
      <c r="B66" s="2" t="s">
        <v>12</v>
      </c>
      <c r="C66" s="13"/>
      <c r="D66" s="105"/>
      <c r="E66" s="105"/>
      <c r="F66" s="105"/>
      <c r="G66" s="105"/>
      <c r="H66" s="105"/>
      <c r="I66" s="105"/>
    </row>
    <row r="67" spans="1:13" ht="15.75" hidden="1" outlineLevel="1">
      <c r="A67" s="2"/>
      <c r="B67" s="12" t="s">
        <v>104</v>
      </c>
      <c r="C67" s="13" t="s">
        <v>102</v>
      </c>
      <c r="D67" s="105"/>
      <c r="E67" s="105"/>
      <c r="F67" s="105" t="e">
        <f>ROUND(E67/D67*100,1)</f>
        <v>#DIV/0!</v>
      </c>
      <c r="G67" s="105">
        <f>E67-D67</f>
        <v>0</v>
      </c>
      <c r="H67" s="105"/>
      <c r="I67" s="105" t="e">
        <f>ROUND(E67/H67*100,1)</f>
        <v>#DIV/0!</v>
      </c>
    </row>
    <row r="68" spans="1:13" ht="15.75" hidden="1" outlineLevel="1">
      <c r="A68" s="2"/>
      <c r="B68" s="12" t="s">
        <v>105</v>
      </c>
      <c r="C68" s="13" t="s">
        <v>102</v>
      </c>
      <c r="D68" s="105"/>
      <c r="E68" s="105"/>
      <c r="F68" s="105" t="e">
        <f>ROUND(E68/D68*100,1)</f>
        <v>#DIV/0!</v>
      </c>
      <c r="G68" s="105">
        <f>E68-D68</f>
        <v>0</v>
      </c>
      <c r="H68" s="105"/>
      <c r="I68" s="105" t="e">
        <f>ROUND(E68/H68*100,1)</f>
        <v>#DIV/0!</v>
      </c>
    </row>
    <row r="69" spans="1:13" s="32" customFormat="1" ht="15.75" collapsed="1">
      <c r="A69" s="298" t="s">
        <v>106</v>
      </c>
      <c r="B69" s="298"/>
      <c r="C69" s="298"/>
      <c r="D69" s="298"/>
      <c r="E69" s="298"/>
      <c r="F69" s="298"/>
      <c r="G69" s="298"/>
      <c r="H69" s="298"/>
      <c r="I69" s="298"/>
    </row>
    <row r="70" spans="1:13" ht="15.75">
      <c r="A70" s="2" t="s">
        <v>107</v>
      </c>
      <c r="B70" s="12" t="s">
        <v>108</v>
      </c>
      <c r="C70" s="17" t="s">
        <v>37</v>
      </c>
      <c r="D70" s="99">
        <f>[1]Год!$B$104/1000</f>
        <v>860181.66899999999</v>
      </c>
      <c r="E70" s="14">
        <f>'2020 г. для давлат (2'!E70</f>
        <v>690930.3</v>
      </c>
      <c r="F70" s="9">
        <f t="shared" ref="F70:F95" si="5">ROUND(E70/D70*100,1)</f>
        <v>80.3</v>
      </c>
      <c r="G70" s="9">
        <f t="shared" ref="G70:G96" si="6">E70-D70</f>
        <v>-169251.36899999995</v>
      </c>
      <c r="H70" s="86">
        <v>485107.9</v>
      </c>
      <c r="I70" s="9">
        <f t="shared" ref="I70:I85" si="7">ROUND(E70/H70*100,1)</f>
        <v>142.4</v>
      </c>
      <c r="J70" t="s">
        <v>103</v>
      </c>
      <c r="M70">
        <f>1759313-152984-76292-1017231</f>
        <v>512806</v>
      </c>
    </row>
    <row r="71" spans="1:13" ht="15.75">
      <c r="A71" s="2" t="s">
        <v>109</v>
      </c>
      <c r="B71" s="12" t="s">
        <v>110</v>
      </c>
      <c r="C71" s="17" t="s">
        <v>37</v>
      </c>
      <c r="D71" s="99">
        <f>[1]Год!$B$105/1000</f>
        <v>632436.96233565209</v>
      </c>
      <c r="E71" s="14">
        <f>'2020 г. для давлат (2'!E71</f>
        <v>554905.9</v>
      </c>
      <c r="F71" s="9">
        <f t="shared" si="5"/>
        <v>87.7</v>
      </c>
      <c r="G71" s="9">
        <f t="shared" si="6"/>
        <v>-77531.062335652066</v>
      </c>
      <c r="H71" s="86">
        <v>361228.1</v>
      </c>
      <c r="I71" s="9">
        <f t="shared" si="7"/>
        <v>153.6</v>
      </c>
      <c r="J71" t="s">
        <v>103</v>
      </c>
    </row>
    <row r="72" spans="1:13" ht="15.75">
      <c r="A72" s="2" t="s">
        <v>111</v>
      </c>
      <c r="B72" s="12" t="s">
        <v>112</v>
      </c>
      <c r="C72" s="17" t="s">
        <v>37</v>
      </c>
      <c r="D72" s="33">
        <f>D70-D71</f>
        <v>227744.7066643479</v>
      </c>
      <c r="E72" s="14">
        <f>'2020 г. для давлат (2'!E72</f>
        <v>136024.40000000002</v>
      </c>
      <c r="F72" s="7">
        <f t="shared" si="5"/>
        <v>59.7</v>
      </c>
      <c r="G72" s="9">
        <f t="shared" si="6"/>
        <v>-91720.306664347881</v>
      </c>
      <c r="H72" s="18">
        <v>123879.80000000005</v>
      </c>
      <c r="I72" s="7">
        <f t="shared" si="7"/>
        <v>109.8</v>
      </c>
      <c r="J72" t="s">
        <v>103</v>
      </c>
      <c r="M72" s="11">
        <f>D72-D73</f>
        <v>100622.95506434792</v>
      </c>
    </row>
    <row r="73" spans="1:13" ht="15.75">
      <c r="A73" s="2"/>
      <c r="B73" s="3" t="s">
        <v>113</v>
      </c>
      <c r="C73" s="17" t="s">
        <v>37</v>
      </c>
      <c r="D73" s="26">
        <f>D74+D75+D76</f>
        <v>127121.75159999999</v>
      </c>
      <c r="E73" s="14">
        <f>'2020 г. для давлат (2'!E73</f>
        <v>190151.6</v>
      </c>
      <c r="F73" s="10">
        <f t="shared" si="5"/>
        <v>149.6</v>
      </c>
      <c r="G73" s="10">
        <f t="shared" si="6"/>
        <v>63029.848400000017</v>
      </c>
      <c r="H73" s="118">
        <v>121814.5</v>
      </c>
      <c r="I73" s="10">
        <f t="shared" si="7"/>
        <v>156.1</v>
      </c>
      <c r="J73" t="s">
        <v>103</v>
      </c>
      <c r="M73" s="11">
        <f>M72+D77</f>
        <v>104085.87006434791</v>
      </c>
    </row>
    <row r="74" spans="1:13" ht="15.75">
      <c r="A74" s="2"/>
      <c r="B74" s="119" t="s">
        <v>114</v>
      </c>
      <c r="C74" s="17" t="s">
        <v>37</v>
      </c>
      <c r="D74" s="99">
        <f>[1]Год!$B$110/1000</f>
        <v>5609.2665600000009</v>
      </c>
      <c r="E74" s="14">
        <f>'2020 г. для давлат (2'!E74</f>
        <v>30401.8</v>
      </c>
      <c r="F74" s="7">
        <f t="shared" si="5"/>
        <v>542</v>
      </c>
      <c r="G74" s="9">
        <f t="shared" si="6"/>
        <v>24792.533439999999</v>
      </c>
      <c r="H74" s="86">
        <v>8296.4</v>
      </c>
      <c r="I74" s="7">
        <f t="shared" si="7"/>
        <v>366.4</v>
      </c>
      <c r="J74" t="s">
        <v>103</v>
      </c>
    </row>
    <row r="75" spans="1:13" ht="15.75">
      <c r="A75" s="2"/>
      <c r="B75" s="119" t="s">
        <v>115</v>
      </c>
      <c r="C75" s="17" t="s">
        <v>37</v>
      </c>
      <c r="D75" s="99">
        <f>[1]Год!$B$126/1000</f>
        <v>51740.456039999997</v>
      </c>
      <c r="E75" s="14">
        <f>'2020 г. для давлат (2'!E75</f>
        <v>46496</v>
      </c>
      <c r="F75" s="9">
        <f t="shared" si="5"/>
        <v>89.9</v>
      </c>
      <c r="G75" s="9">
        <f t="shared" si="6"/>
        <v>-5244.4560399999973</v>
      </c>
      <c r="H75" s="86">
        <v>24029.9</v>
      </c>
      <c r="I75" s="9">
        <f t="shared" si="7"/>
        <v>193.5</v>
      </c>
      <c r="J75" t="s">
        <v>103</v>
      </c>
    </row>
    <row r="76" spans="1:13" ht="15.75">
      <c r="A76" s="2"/>
      <c r="B76" s="119" t="s">
        <v>116</v>
      </c>
      <c r="C76" s="17" t="s">
        <v>37</v>
      </c>
      <c r="D76" s="99">
        <f>[1]Год!$B$197/1000</f>
        <v>69772.028999999995</v>
      </c>
      <c r="E76" s="14">
        <f>'2020 г. для давлат (2'!E76</f>
        <v>113253.8</v>
      </c>
      <c r="F76" s="9">
        <f t="shared" si="5"/>
        <v>162.30000000000001</v>
      </c>
      <c r="G76" s="9">
        <f t="shared" si="6"/>
        <v>43481.771000000008</v>
      </c>
      <c r="H76" s="86">
        <v>89488.2</v>
      </c>
      <c r="I76" s="9">
        <f t="shared" si="7"/>
        <v>126.6</v>
      </c>
      <c r="J76" t="s">
        <v>103</v>
      </c>
    </row>
    <row r="77" spans="1:13" ht="15.75">
      <c r="A77" s="2"/>
      <c r="B77" s="12" t="s">
        <v>117</v>
      </c>
      <c r="C77" s="17" t="s">
        <v>37</v>
      </c>
      <c r="D77" s="116">
        <f>[1]Год!$B$288/1000</f>
        <v>3462.915</v>
      </c>
      <c r="E77" s="14">
        <f>'2020 г. для давлат (2'!E77</f>
        <v>0</v>
      </c>
      <c r="F77" s="9"/>
      <c r="G77" s="9">
        <f t="shared" si="6"/>
        <v>-3462.915</v>
      </c>
      <c r="H77" s="86">
        <v>177003.6</v>
      </c>
      <c r="I77" s="9">
        <f t="shared" si="7"/>
        <v>0</v>
      </c>
      <c r="J77" t="s">
        <v>103</v>
      </c>
    </row>
    <row r="78" spans="1:13" ht="15.75">
      <c r="A78" s="2"/>
      <c r="B78" s="12" t="s">
        <v>118</v>
      </c>
      <c r="C78" s="17" t="s">
        <v>37</v>
      </c>
      <c r="D78" s="99">
        <v>104000</v>
      </c>
      <c r="E78" s="14">
        <f>'2020 г. для давлат (2'!E78</f>
        <v>129684.3</v>
      </c>
      <c r="F78" s="9">
        <f t="shared" si="5"/>
        <v>124.7</v>
      </c>
      <c r="G78" s="9">
        <f t="shared" si="6"/>
        <v>25684.300000000003</v>
      </c>
      <c r="H78" s="86">
        <v>258814</v>
      </c>
      <c r="I78" s="9">
        <f t="shared" si="7"/>
        <v>50.1</v>
      </c>
      <c r="J78" t="s">
        <v>103</v>
      </c>
    </row>
    <row r="79" spans="1:13" ht="15.75" hidden="1" outlineLevel="1">
      <c r="A79" s="2"/>
      <c r="B79" s="12" t="s">
        <v>119</v>
      </c>
      <c r="C79" s="17" t="s">
        <v>37</v>
      </c>
      <c r="D79" s="111"/>
      <c r="E79" s="14">
        <f>'2020 г. для давлат (2'!E79</f>
        <v>0</v>
      </c>
      <c r="F79" s="9" t="e">
        <f t="shared" si="5"/>
        <v>#DIV/0!</v>
      </c>
      <c r="G79" s="9">
        <f t="shared" si="6"/>
        <v>0</v>
      </c>
      <c r="H79" s="120"/>
      <c r="I79" s="9" t="e">
        <f t="shared" si="7"/>
        <v>#DIV/0!</v>
      </c>
    </row>
    <row r="80" spans="1:13" ht="15.75" hidden="1" outlineLevel="1">
      <c r="A80" s="2"/>
      <c r="B80" s="12" t="s">
        <v>120</v>
      </c>
      <c r="C80" s="17" t="s">
        <v>37</v>
      </c>
      <c r="D80" s="111"/>
      <c r="E80" s="14">
        <f>'2020 г. для давлат (2'!E80</f>
        <v>0</v>
      </c>
      <c r="F80" s="9" t="e">
        <f t="shared" si="5"/>
        <v>#DIV/0!</v>
      </c>
      <c r="G80" s="9">
        <f t="shared" si="6"/>
        <v>0</v>
      </c>
      <c r="H80" s="120"/>
      <c r="I80" s="9" t="e">
        <f t="shared" si="7"/>
        <v>#DIV/0!</v>
      </c>
    </row>
    <row r="81" spans="1:10" ht="15.75" hidden="1" outlineLevel="1">
      <c r="A81" s="2"/>
      <c r="B81" s="12" t="s">
        <v>121</v>
      </c>
      <c r="C81" s="17" t="s">
        <v>37</v>
      </c>
      <c r="D81" s="111"/>
      <c r="E81" s="14">
        <f>'2020 г. для давлат (2'!E81</f>
        <v>0</v>
      </c>
      <c r="F81" s="9" t="e">
        <f t="shared" si="5"/>
        <v>#DIV/0!</v>
      </c>
      <c r="G81" s="9">
        <f t="shared" si="6"/>
        <v>0</v>
      </c>
      <c r="H81" s="120"/>
      <c r="I81" s="9" t="e">
        <f t="shared" si="7"/>
        <v>#DIV/0!</v>
      </c>
    </row>
    <row r="82" spans="1:10" ht="15.75" hidden="1" outlineLevel="1">
      <c r="A82" s="2"/>
      <c r="B82" s="12" t="s">
        <v>122</v>
      </c>
      <c r="C82" s="17" t="s">
        <v>37</v>
      </c>
      <c r="D82" s="111"/>
      <c r="E82" s="14">
        <f>'2020 г. для давлат (2'!E82</f>
        <v>0</v>
      </c>
      <c r="F82" s="9" t="e">
        <f t="shared" si="5"/>
        <v>#DIV/0!</v>
      </c>
      <c r="G82" s="9">
        <f t="shared" si="6"/>
        <v>0</v>
      </c>
      <c r="H82" s="120"/>
      <c r="I82" s="9" t="e">
        <f t="shared" si="7"/>
        <v>#DIV/0!</v>
      </c>
    </row>
    <row r="83" spans="1:10" ht="15.75" hidden="1" outlineLevel="1">
      <c r="A83" s="2"/>
      <c r="B83" s="12" t="s">
        <v>123</v>
      </c>
      <c r="C83" s="17" t="s">
        <v>37</v>
      </c>
      <c r="D83" s="111"/>
      <c r="E83" s="14">
        <f>'2020 г. для давлат (2'!E83</f>
        <v>0</v>
      </c>
      <c r="F83" s="9" t="e">
        <f t="shared" si="5"/>
        <v>#DIV/0!</v>
      </c>
      <c r="G83" s="9">
        <f t="shared" si="6"/>
        <v>0</v>
      </c>
      <c r="H83" s="120"/>
      <c r="I83" s="9" t="e">
        <f t="shared" si="7"/>
        <v>#DIV/0!</v>
      </c>
    </row>
    <row r="84" spans="1:10" ht="15.75" hidden="1" outlineLevel="1">
      <c r="A84" s="2"/>
      <c r="B84" s="12" t="s">
        <v>121</v>
      </c>
      <c r="C84" s="17" t="s">
        <v>37</v>
      </c>
      <c r="D84" s="111"/>
      <c r="E84" s="14">
        <f>'2020 г. для давлат (2'!E84</f>
        <v>0</v>
      </c>
      <c r="F84" s="9" t="e">
        <f t="shared" si="5"/>
        <v>#DIV/0!</v>
      </c>
      <c r="G84" s="9">
        <f t="shared" si="6"/>
        <v>0</v>
      </c>
      <c r="H84" s="120"/>
      <c r="I84" s="9" t="e">
        <f t="shared" si="7"/>
        <v>#DIV/0!</v>
      </c>
    </row>
    <row r="85" spans="1:10" ht="15.75" hidden="1" outlineLevel="1">
      <c r="A85" s="2"/>
      <c r="B85" s="12" t="s">
        <v>122</v>
      </c>
      <c r="C85" s="17" t="s">
        <v>37</v>
      </c>
      <c r="D85" s="111"/>
      <c r="E85" s="14">
        <f>'2020 г. для давлат (2'!E85</f>
        <v>0</v>
      </c>
      <c r="F85" s="9" t="e">
        <f t="shared" si="5"/>
        <v>#DIV/0!</v>
      </c>
      <c r="G85" s="9">
        <f t="shared" si="6"/>
        <v>0</v>
      </c>
      <c r="H85" s="120"/>
      <c r="I85" s="9" t="e">
        <f t="shared" si="7"/>
        <v>#DIV/0!</v>
      </c>
    </row>
    <row r="86" spans="1:10" ht="15.75" hidden="1" outlineLevel="1" collapsed="1">
      <c r="A86" s="2"/>
      <c r="B86" s="12" t="s">
        <v>124</v>
      </c>
      <c r="C86" s="17" t="s">
        <v>37</v>
      </c>
      <c r="D86" s="99"/>
      <c r="E86" s="14">
        <f>'2020 г. для давлат (2'!E86</f>
        <v>0</v>
      </c>
      <c r="F86" s="9" t="e">
        <f t="shared" si="5"/>
        <v>#DIV/0!</v>
      </c>
      <c r="G86" s="9">
        <f t="shared" si="6"/>
        <v>0</v>
      </c>
      <c r="H86" s="120"/>
      <c r="I86" s="9"/>
    </row>
    <row r="87" spans="1:10" ht="15.75" hidden="1" outlineLevel="1">
      <c r="A87" s="2"/>
      <c r="B87" s="12" t="s">
        <v>121</v>
      </c>
      <c r="C87" s="17" t="s">
        <v>37</v>
      </c>
      <c r="D87" s="99"/>
      <c r="E87" s="14">
        <f>'2020 г. для давлат (2'!E87</f>
        <v>0</v>
      </c>
      <c r="F87" s="9" t="e">
        <f t="shared" si="5"/>
        <v>#DIV/0!</v>
      </c>
      <c r="G87" s="9">
        <f t="shared" si="6"/>
        <v>0</v>
      </c>
      <c r="H87" s="120"/>
      <c r="I87" s="9" t="e">
        <f>ROUND(E87/H87*100,1)</f>
        <v>#DIV/0!</v>
      </c>
    </row>
    <row r="88" spans="1:10" ht="15.75" hidden="1" outlineLevel="1">
      <c r="A88" s="2"/>
      <c r="B88" s="12" t="s">
        <v>122</v>
      </c>
      <c r="C88" s="17" t="s">
        <v>37</v>
      </c>
      <c r="D88" s="111"/>
      <c r="E88" s="14">
        <f>'2020 г. для давлат (2'!E88</f>
        <v>0</v>
      </c>
      <c r="F88" s="9" t="e">
        <f t="shared" si="5"/>
        <v>#DIV/0!</v>
      </c>
      <c r="G88" s="9">
        <f t="shared" si="6"/>
        <v>0</v>
      </c>
      <c r="H88" s="120"/>
      <c r="I88" s="9"/>
    </row>
    <row r="89" spans="1:10" ht="15.75" collapsed="1">
      <c r="A89" s="2"/>
      <c r="B89" s="12" t="s">
        <v>125</v>
      </c>
      <c r="C89" s="17" t="s">
        <v>37</v>
      </c>
      <c r="D89" s="26">
        <f>D72-D73+D77-D78</f>
        <v>85.870064347909647</v>
      </c>
      <c r="E89" s="14">
        <f>'2020 г. для давлат (2'!E89</f>
        <v>-183811.5</v>
      </c>
      <c r="F89" s="10">
        <f>ROUND(E89/D89*100,1)</f>
        <v>-214057.7</v>
      </c>
      <c r="G89" s="10">
        <f t="shared" si="6"/>
        <v>-183897.37006434792</v>
      </c>
      <c r="H89" s="10">
        <v>-79745.099999999948</v>
      </c>
      <c r="I89" s="10">
        <f t="shared" ref="I89:I96" si="8">ROUND(E89/H89*100,1)</f>
        <v>230.5</v>
      </c>
      <c r="J89" t="s">
        <v>103</v>
      </c>
    </row>
    <row r="90" spans="1:10" ht="17.25" hidden="1" customHeight="1" outlineLevel="1">
      <c r="A90" s="2"/>
      <c r="B90" s="12" t="s">
        <v>126</v>
      </c>
      <c r="C90" s="17" t="s">
        <v>37</v>
      </c>
      <c r="D90" s="99"/>
      <c r="E90" s="14">
        <f>'2020 г. для давлат (2'!E90</f>
        <v>0</v>
      </c>
      <c r="F90" s="9"/>
      <c r="G90" s="9">
        <f t="shared" si="6"/>
        <v>0</v>
      </c>
      <c r="H90" s="121"/>
      <c r="I90" s="9" t="e">
        <f t="shared" si="8"/>
        <v>#DIV/0!</v>
      </c>
      <c r="J90" t="s">
        <v>103</v>
      </c>
    </row>
    <row r="91" spans="1:10" ht="17.25" hidden="1" customHeight="1" outlineLevel="1">
      <c r="A91" s="2"/>
      <c r="B91" s="12" t="s">
        <v>127</v>
      </c>
      <c r="C91" s="17" t="s">
        <v>37</v>
      </c>
      <c r="D91" s="111"/>
      <c r="E91" s="14">
        <f>'2020 г. для давлат (2'!E91</f>
        <v>0</v>
      </c>
      <c r="F91" s="9"/>
      <c r="G91" s="9">
        <f t="shared" si="6"/>
        <v>0</v>
      </c>
      <c r="H91" s="122"/>
      <c r="I91" s="9"/>
    </row>
    <row r="92" spans="1:10" ht="15.75" collapsed="1">
      <c r="A92" s="2"/>
      <c r="B92" s="12" t="s">
        <v>128</v>
      </c>
      <c r="C92" s="17" t="s">
        <v>37</v>
      </c>
      <c r="D92" s="111">
        <f>[1]Год!$B$298/1000</f>
        <v>12.878367452173494</v>
      </c>
      <c r="E92" s="14">
        <f>'2020 г. для давлат (2'!E92</f>
        <v>0</v>
      </c>
      <c r="F92" s="9">
        <v>0</v>
      </c>
      <c r="G92" s="9">
        <f t="shared" si="6"/>
        <v>-12.878367452173494</v>
      </c>
      <c r="H92" s="86"/>
      <c r="I92" s="9"/>
      <c r="J92" t="s">
        <v>103</v>
      </c>
    </row>
    <row r="93" spans="1:10" ht="17.25" customHeight="1">
      <c r="A93" s="2"/>
      <c r="B93" s="12" t="s">
        <v>129</v>
      </c>
      <c r="C93" s="17" t="s">
        <v>37</v>
      </c>
      <c r="D93" s="111">
        <f>[1]Год!$B$298/1000</f>
        <v>12.878367452173494</v>
      </c>
      <c r="E93" s="14">
        <f>'2020 г. для давлат (2'!E93</f>
        <v>0</v>
      </c>
      <c r="F93" s="9">
        <v>0</v>
      </c>
      <c r="G93" s="9">
        <f t="shared" si="6"/>
        <v>-12.878367452173494</v>
      </c>
      <c r="H93" s="86"/>
      <c r="I93" s="9" t="e">
        <f t="shared" si="8"/>
        <v>#DIV/0!</v>
      </c>
      <c r="J93" t="s">
        <v>103</v>
      </c>
    </row>
    <row r="94" spans="1:10" ht="15.75" hidden="1" outlineLevel="1">
      <c r="A94" s="2"/>
      <c r="B94" s="12" t="s">
        <v>130</v>
      </c>
      <c r="C94" s="17" t="s">
        <v>37</v>
      </c>
      <c r="D94" s="111">
        <v>0</v>
      </c>
      <c r="E94" s="14">
        <f>'2020 г. для давлат (2'!E94</f>
        <v>0</v>
      </c>
      <c r="F94" s="9"/>
      <c r="G94" s="9">
        <f t="shared" si="6"/>
        <v>0</v>
      </c>
      <c r="H94" s="86"/>
      <c r="I94" s="9"/>
      <c r="J94" t="s">
        <v>103</v>
      </c>
    </row>
    <row r="95" spans="1:10" ht="15.75" hidden="1" outlineLevel="1">
      <c r="A95" s="2"/>
      <c r="B95" s="12" t="s">
        <v>131</v>
      </c>
      <c r="C95" s="17" t="s">
        <v>37</v>
      </c>
      <c r="D95" s="111"/>
      <c r="E95" s="14">
        <f>'2020 г. для давлат (2'!E95</f>
        <v>0</v>
      </c>
      <c r="F95" s="9" t="e">
        <f t="shared" si="5"/>
        <v>#DIV/0!</v>
      </c>
      <c r="G95" s="9">
        <f t="shared" si="6"/>
        <v>0</v>
      </c>
      <c r="H95" s="86"/>
      <c r="I95" s="9" t="e">
        <f t="shared" si="8"/>
        <v>#DIV/0!</v>
      </c>
    </row>
    <row r="96" spans="1:10" ht="15.75" collapsed="1">
      <c r="A96" s="2"/>
      <c r="B96" s="12" t="s">
        <v>132</v>
      </c>
      <c r="C96" s="17" t="s">
        <v>37</v>
      </c>
      <c r="D96" s="173">
        <f>D89-D93-D94</f>
        <v>72.991696895736155</v>
      </c>
      <c r="E96" s="14">
        <f>'2020 г. для давлат (2'!E96</f>
        <v>-183811.5</v>
      </c>
      <c r="F96" s="9">
        <f>ROUND(E96/D96*100,1)</f>
        <v>-251825.2</v>
      </c>
      <c r="G96" s="9">
        <f t="shared" si="6"/>
        <v>-183884.49169689574</v>
      </c>
      <c r="H96" s="86">
        <v>-79745.099999999948</v>
      </c>
      <c r="I96" s="9">
        <f t="shared" si="8"/>
        <v>230.5</v>
      </c>
      <c r="J96" t="s">
        <v>103</v>
      </c>
    </row>
    <row r="97" spans="1:12" ht="15.75" hidden="1" outlineLevel="1">
      <c r="A97" s="2"/>
      <c r="B97" s="123" t="s">
        <v>133</v>
      </c>
      <c r="C97" s="17" t="s">
        <v>37</v>
      </c>
      <c r="D97" s="124"/>
      <c r="E97" s="14">
        <f>'2020 г. для давлат (2'!E97</f>
        <v>0</v>
      </c>
      <c r="F97" s="126"/>
      <c r="G97" s="126"/>
      <c r="H97" s="102"/>
      <c r="I97" s="126"/>
    </row>
    <row r="98" spans="1:12" ht="15.75" hidden="1" outlineLevel="1">
      <c r="A98" s="2"/>
      <c r="B98" s="12" t="s">
        <v>134</v>
      </c>
      <c r="C98" s="17" t="s">
        <v>37</v>
      </c>
      <c r="D98" s="87"/>
      <c r="E98" s="14">
        <f>'2020 г. для давлат (2'!E98</f>
        <v>0</v>
      </c>
      <c r="F98" s="9">
        <f>IF(E98&gt;0,ROUND(E98/D98*100,1),0)</f>
        <v>0</v>
      </c>
      <c r="G98" s="9">
        <f>E98-D98</f>
        <v>0</v>
      </c>
      <c r="H98" s="102"/>
      <c r="I98" s="7"/>
    </row>
    <row r="99" spans="1:12" ht="16.5" hidden="1" customHeight="1" outlineLevel="1">
      <c r="A99" s="2"/>
      <c r="B99" s="12" t="s">
        <v>135</v>
      </c>
      <c r="C99" s="17" t="s">
        <v>37</v>
      </c>
      <c r="D99" s="87"/>
      <c r="E99" s="14">
        <f>'2020 г. для давлат (2'!E99</f>
        <v>0</v>
      </c>
      <c r="F99" s="7"/>
      <c r="G99" s="7"/>
      <c r="H99" s="102"/>
      <c r="I99" s="7"/>
    </row>
    <row r="100" spans="1:12" ht="16.5" hidden="1" customHeight="1" outlineLevel="1">
      <c r="A100" s="127"/>
      <c r="B100" s="128" t="s">
        <v>119</v>
      </c>
      <c r="C100" s="17" t="s">
        <v>37</v>
      </c>
      <c r="D100" s="129">
        <v>0</v>
      </c>
      <c r="E100" s="14">
        <f>'2020 г. для давлат (2'!E100</f>
        <v>0</v>
      </c>
      <c r="F100" s="131"/>
      <c r="G100" s="131"/>
      <c r="H100" s="132"/>
      <c r="I100" s="131"/>
    </row>
    <row r="101" spans="1:12" ht="15.75" collapsed="1">
      <c r="A101" s="2" t="s">
        <v>136</v>
      </c>
      <c r="B101" s="3" t="s">
        <v>137</v>
      </c>
      <c r="C101" s="17" t="s">
        <v>37</v>
      </c>
      <c r="D101" s="87"/>
      <c r="E101" s="14">
        <f>'2020 г. для давлат (2'!E101</f>
        <v>0</v>
      </c>
      <c r="F101" s="9"/>
      <c r="G101" s="9"/>
      <c r="H101" s="7"/>
      <c r="I101" s="9"/>
    </row>
    <row r="102" spans="1:12" ht="15.75">
      <c r="A102" s="2"/>
      <c r="B102" s="8" t="s">
        <v>138</v>
      </c>
      <c r="C102" s="17" t="s">
        <v>37</v>
      </c>
      <c r="D102" s="6">
        <f>D103+D104+D105+D106+D107</f>
        <v>119580.01836745217</v>
      </c>
      <c r="E102" s="6">
        <f>E103+E104+E105+E106+E107</f>
        <v>162554.88799999998</v>
      </c>
      <c r="F102" s="10">
        <f>ROUND(E102/D102*100,1)</f>
        <v>135.9</v>
      </c>
      <c r="G102" s="10">
        <f>E102-D102</f>
        <v>42974.869632547809</v>
      </c>
      <c r="H102" s="10">
        <v>33091.300000000003</v>
      </c>
      <c r="I102" s="10">
        <f>ROUND(E102/H102*100,1)</f>
        <v>491.2</v>
      </c>
      <c r="J102" s="11" t="s">
        <v>139</v>
      </c>
    </row>
    <row r="103" spans="1:12" ht="15.75">
      <c r="A103" s="2"/>
      <c r="B103" s="119" t="s">
        <v>140</v>
      </c>
      <c r="C103" s="17" t="s">
        <v>37</v>
      </c>
      <c r="D103" s="34">
        <f>D93</f>
        <v>12.878367452173494</v>
      </c>
      <c r="E103" s="34">
        <f>E93</f>
        <v>0</v>
      </c>
      <c r="F103" s="9">
        <f>ROUND(E103/D103*100,1)</f>
        <v>0</v>
      </c>
      <c r="G103" s="9">
        <f>E103-D103</f>
        <v>-12.878367452173494</v>
      </c>
      <c r="H103" s="86">
        <v>0</v>
      </c>
      <c r="I103" s="9" t="e">
        <f>ROUND(E103/H103*100,1)</f>
        <v>#DIV/0!</v>
      </c>
      <c r="J103" s="11" t="s">
        <v>139</v>
      </c>
    </row>
    <row r="104" spans="1:12" ht="17.25" customHeight="1">
      <c r="A104" s="2"/>
      <c r="B104" s="119" t="s">
        <v>141</v>
      </c>
      <c r="C104" s="17" t="s">
        <v>37</v>
      </c>
      <c r="D104" s="87"/>
      <c r="E104" s="14">
        <f>'2020 г. для давлат (2'!E104</f>
        <v>0</v>
      </c>
      <c r="F104" s="7"/>
      <c r="G104" s="7"/>
      <c r="H104" s="86"/>
      <c r="I104" s="9"/>
      <c r="J104" s="11"/>
    </row>
    <row r="105" spans="1:12" ht="17.25" customHeight="1">
      <c r="A105" s="2"/>
      <c r="B105" s="134" t="s">
        <v>142</v>
      </c>
      <c r="C105" s="17" t="s">
        <v>37</v>
      </c>
      <c r="D105" s="34">
        <f>D94</f>
        <v>0</v>
      </c>
      <c r="E105" s="14">
        <f>'2020 г. для давлат (2'!E105</f>
        <v>0</v>
      </c>
      <c r="F105" s="9"/>
      <c r="G105" s="7">
        <f>E105-D105</f>
        <v>0</v>
      </c>
      <c r="H105" s="86">
        <v>0</v>
      </c>
      <c r="I105" s="9"/>
      <c r="J105" s="11" t="s">
        <v>139</v>
      </c>
    </row>
    <row r="106" spans="1:12" ht="19.5" customHeight="1">
      <c r="A106" s="2"/>
      <c r="B106" s="119" t="s">
        <v>143</v>
      </c>
      <c r="C106" s="17" t="s">
        <v>37</v>
      </c>
      <c r="D106" s="91">
        <f>E106</f>
        <v>80647.199999999997</v>
      </c>
      <c r="E106" s="14">
        <f>'2020 г. для давлат (2'!E106</f>
        <v>80647.199999999997</v>
      </c>
      <c r="F106" s="9">
        <f>ROUND(E106/D106*100,1)</f>
        <v>100</v>
      </c>
      <c r="G106" s="135">
        <f>E106-D106</f>
        <v>0</v>
      </c>
      <c r="H106" s="86"/>
      <c r="I106" s="9" t="e">
        <f>ROUND(E106/H106*100,1)</f>
        <v>#DIV/0!</v>
      </c>
      <c r="J106" s="11" t="s">
        <v>139</v>
      </c>
    </row>
    <row r="107" spans="1:12" ht="20.25" customHeight="1">
      <c r="A107" s="2"/>
      <c r="B107" s="136" t="s">
        <v>144</v>
      </c>
      <c r="C107" s="17" t="s">
        <v>37</v>
      </c>
      <c r="D107" s="6">
        <f>SUM(D108:D112)</f>
        <v>38919.94</v>
      </c>
      <c r="E107" s="14">
        <f>'2020 г. для давлат (2'!E107</f>
        <v>81907.687999999995</v>
      </c>
      <c r="F107" s="10">
        <f>ROUND(E107/D107*100,1)</f>
        <v>210.5</v>
      </c>
      <c r="G107" s="10">
        <f>E107-D107</f>
        <v>42987.747999999992</v>
      </c>
      <c r="H107" s="10">
        <v>33091.300000000003</v>
      </c>
      <c r="I107" s="10">
        <f>IF(H107&gt;0,ROUND(E107/H107*100,1),0)</f>
        <v>247.5</v>
      </c>
      <c r="J107" s="11" t="s">
        <v>139</v>
      </c>
    </row>
    <row r="108" spans="1:12" ht="15.75">
      <c r="A108" s="2"/>
      <c r="B108" s="137" t="str">
        <f>'[1]1полугодие'!$A$245</f>
        <v xml:space="preserve">  - налог на имущ, по неиспольз.объектам Ангрен</v>
      </c>
      <c r="C108" s="17" t="s">
        <v>37</v>
      </c>
      <c r="D108" s="87">
        <v>0</v>
      </c>
      <c r="E108" s="14">
        <f>'2020 г. для давлат (2'!E108</f>
        <v>0</v>
      </c>
      <c r="F108" s="7"/>
      <c r="G108" s="7"/>
      <c r="H108" s="86">
        <v>1440.3</v>
      </c>
      <c r="I108" s="7"/>
    </row>
    <row r="109" spans="1:12" s="19" customFormat="1" ht="15.75">
      <c r="A109" s="15"/>
      <c r="B109" s="30" t="s">
        <v>146</v>
      </c>
      <c r="C109" s="17" t="s">
        <v>37</v>
      </c>
      <c r="D109" s="87">
        <f>[1]Год!$B$248/1000</f>
        <v>2885.866</v>
      </c>
      <c r="E109" s="14">
        <f>'2020 г. для давлат (2'!E109</f>
        <v>5307.7</v>
      </c>
      <c r="F109" s="18">
        <f>ROUND(E109/D109*100,1)</f>
        <v>183.9</v>
      </c>
      <c r="G109" s="18">
        <f>E109-D109</f>
        <v>2421.8339999999998</v>
      </c>
      <c r="H109" s="86">
        <v>5475</v>
      </c>
      <c r="I109" s="34">
        <f>ROUND(E109/H109*100,1)</f>
        <v>96.9</v>
      </c>
      <c r="J109" s="11" t="s">
        <v>139</v>
      </c>
      <c r="K109"/>
      <c r="L109"/>
    </row>
    <row r="110" spans="1:12" ht="15.75">
      <c r="A110" s="2"/>
      <c r="B110" s="138" t="s">
        <v>147</v>
      </c>
      <c r="C110" s="17" t="s">
        <v>37</v>
      </c>
      <c r="D110" s="87">
        <f>[1]Год!$B$249/1000</f>
        <v>538.577</v>
      </c>
      <c r="E110" s="14">
        <f>'2020 г. для давлат (2'!E110</f>
        <v>673.43600000000004</v>
      </c>
      <c r="F110" s="9">
        <f>ROUND(E110/D110*100,1)</f>
        <v>125</v>
      </c>
      <c r="G110" s="9">
        <f>E110-D110</f>
        <v>134.85900000000004</v>
      </c>
      <c r="H110" s="86">
        <v>591</v>
      </c>
      <c r="I110" s="7">
        <f>ROUND(E110/H110*100,1)</f>
        <v>113.9</v>
      </c>
      <c r="J110" s="11" t="s">
        <v>139</v>
      </c>
    </row>
    <row r="111" spans="1:12" ht="15.75">
      <c r="A111" s="2"/>
      <c r="B111" s="138" t="s">
        <v>148</v>
      </c>
      <c r="C111" s="17" t="s">
        <v>37</v>
      </c>
      <c r="D111" s="87">
        <f>[1]Год!$B$250/1000</f>
        <v>7870.3670000000002</v>
      </c>
      <c r="E111" s="14">
        <f>'2020 г. для давлат (2'!E111</f>
        <v>7714.6</v>
      </c>
      <c r="F111" s="9">
        <f>ROUND(E111/D111*100,1)</f>
        <v>98</v>
      </c>
      <c r="G111" s="9">
        <f>E111-D111</f>
        <v>-155.76699999999983</v>
      </c>
      <c r="H111" s="86">
        <v>6693</v>
      </c>
      <c r="I111" s="7">
        <f>ROUND(E111/H111*100,1)</f>
        <v>115.3</v>
      </c>
      <c r="J111" s="11" t="s">
        <v>139</v>
      </c>
    </row>
    <row r="112" spans="1:12" ht="15.75">
      <c r="A112" s="2"/>
      <c r="B112" s="138" t="s">
        <v>149</v>
      </c>
      <c r="C112" s="17" t="s">
        <v>37</v>
      </c>
      <c r="D112" s="87">
        <f>[1]Год!$B$247/1000</f>
        <v>27625.13</v>
      </c>
      <c r="E112" s="14">
        <f>'2020 г. для давлат (2'!E112</f>
        <v>26868.7</v>
      </c>
      <c r="F112" s="9">
        <f>ROUND(E112/D112*100,1)</f>
        <v>97.3</v>
      </c>
      <c r="G112" s="9">
        <f>E112-D112</f>
        <v>-756.43000000000029</v>
      </c>
      <c r="H112" s="86">
        <v>18892</v>
      </c>
      <c r="I112" s="7">
        <f>ROUND(E112/H112*100,1)</f>
        <v>142.19999999999999</v>
      </c>
      <c r="J112" s="11" t="s">
        <v>139</v>
      </c>
    </row>
    <row r="113" spans="1:13" ht="21" customHeight="1">
      <c r="A113" s="2"/>
      <c r="B113" s="139" t="s">
        <v>150</v>
      </c>
      <c r="C113" s="17" t="s">
        <v>37</v>
      </c>
      <c r="D113" s="6">
        <f>SUM(D115:D121)</f>
        <v>34769.911999999997</v>
      </c>
      <c r="E113" s="14">
        <f>'2020 г. для давлат (2'!E113</f>
        <v>41343.252</v>
      </c>
      <c r="F113" s="10">
        <f>ROUND(E113/D113*100,1)</f>
        <v>118.9</v>
      </c>
      <c r="G113" s="10">
        <f>E113-D113</f>
        <v>6573.3400000000038</v>
      </c>
      <c r="H113" s="10">
        <v>41647.4</v>
      </c>
      <c r="I113" s="10">
        <f>ROUND(E113/H113*100,1)</f>
        <v>99.3</v>
      </c>
      <c r="J113" s="11" t="s">
        <v>139</v>
      </c>
    </row>
    <row r="114" spans="1:13" ht="15.75">
      <c r="A114" s="2"/>
      <c r="B114" s="2" t="s">
        <v>12</v>
      </c>
      <c r="C114" s="17" t="s">
        <v>37</v>
      </c>
      <c r="D114" s="87"/>
      <c r="E114" s="14">
        <f>'2020 г. для давлат (2'!E114</f>
        <v>0</v>
      </c>
      <c r="F114" s="7"/>
      <c r="G114" s="7"/>
      <c r="H114" s="102"/>
      <c r="I114" s="7"/>
    </row>
    <row r="115" spans="1:13" ht="21" hidden="1" customHeight="1" outlineLevel="1">
      <c r="A115" s="2"/>
      <c r="B115" s="140" t="s">
        <v>210</v>
      </c>
      <c r="C115" s="17" t="s">
        <v>37</v>
      </c>
      <c r="D115" s="91"/>
      <c r="E115" s="14">
        <f>'2020 г. для давлат (2'!E115</f>
        <v>0</v>
      </c>
      <c r="F115" s="9"/>
      <c r="G115" s="9">
        <f t="shared" ref="G115:G122" si="9">E115-D115</f>
        <v>0</v>
      </c>
      <c r="H115" s="86">
        <v>0</v>
      </c>
      <c r="I115" s="9" t="e">
        <f t="shared" ref="I115:I122" si="10">ROUND(E115/H115*100,1)</f>
        <v>#DIV/0!</v>
      </c>
      <c r="J115" s="11" t="s">
        <v>139</v>
      </c>
    </row>
    <row r="116" spans="1:13" ht="30" hidden="1" customHeight="1" outlineLevel="1">
      <c r="A116" s="2"/>
      <c r="B116" s="140" t="s">
        <v>211</v>
      </c>
      <c r="C116" s="17" t="s">
        <v>37</v>
      </c>
      <c r="D116" s="91"/>
      <c r="E116" s="14">
        <f>'2020 г. для давлат (2'!E116</f>
        <v>0</v>
      </c>
      <c r="F116" s="9"/>
      <c r="G116" s="9">
        <f t="shared" si="9"/>
        <v>0</v>
      </c>
      <c r="H116" s="86">
        <v>0</v>
      </c>
      <c r="I116" s="9" t="e">
        <f t="shared" si="10"/>
        <v>#DIV/0!</v>
      </c>
      <c r="J116" s="11" t="s">
        <v>139</v>
      </c>
    </row>
    <row r="117" spans="1:13" ht="15.75" collapsed="1">
      <c r="A117" s="2"/>
      <c r="B117" s="140" t="s">
        <v>204</v>
      </c>
      <c r="C117" s="17" t="s">
        <v>37</v>
      </c>
      <c r="D117" s="18">
        <f>E117</f>
        <v>32901</v>
      </c>
      <c r="E117" s="14">
        <f>'2020 г. для давлат (2'!E117</f>
        <v>32901</v>
      </c>
      <c r="F117" s="9">
        <f>ROUND(E117/D117*100,1)</f>
        <v>100</v>
      </c>
      <c r="G117" s="9">
        <f t="shared" si="9"/>
        <v>0</v>
      </c>
      <c r="H117" s="86">
        <v>39656</v>
      </c>
      <c r="I117" s="9">
        <f t="shared" si="10"/>
        <v>83</v>
      </c>
      <c r="J117" s="11" t="s">
        <v>139</v>
      </c>
    </row>
    <row r="118" spans="1:13" ht="34.5" customHeight="1">
      <c r="A118" s="127"/>
      <c r="B118" s="2" t="e">
        <f>#REF!</f>
        <v>#REF!</v>
      </c>
      <c r="C118" s="17" t="s">
        <v>37</v>
      </c>
      <c r="D118" s="91">
        <f>([1]Год!$B$243+[1]Год!$B$244)/1000</f>
        <v>1868.912</v>
      </c>
      <c r="E118" s="14">
        <f>'2020 г. для давлат (2'!E118</f>
        <v>7283.7520000000004</v>
      </c>
      <c r="F118" s="9">
        <f>ROUND(E118/D118*100,1)</f>
        <v>389.7</v>
      </c>
      <c r="G118" s="35">
        <f>E118-D118</f>
        <v>5414.84</v>
      </c>
      <c r="H118" s="86">
        <v>1479</v>
      </c>
      <c r="I118" s="9">
        <f t="shared" si="10"/>
        <v>492.5</v>
      </c>
      <c r="J118" s="11" t="s">
        <v>139</v>
      </c>
    </row>
    <row r="119" spans="1:13" ht="36.75" hidden="1" customHeight="1" outlineLevel="1">
      <c r="A119" s="2"/>
      <c r="B119" s="2" t="s">
        <v>154</v>
      </c>
      <c r="C119" s="17" t="s">
        <v>37</v>
      </c>
      <c r="D119" s="91"/>
      <c r="E119" s="14">
        <f>'2020 г. для давлат (2'!E119</f>
        <v>0</v>
      </c>
      <c r="F119" s="9" t="e">
        <f t="shared" ref="F119:F120" si="11">ROUND(E119/D119*100,1)</f>
        <v>#DIV/0!</v>
      </c>
      <c r="G119" s="35">
        <f t="shared" si="9"/>
        <v>0</v>
      </c>
      <c r="H119" s="86"/>
      <c r="I119" s="9"/>
      <c r="J119" s="11" t="s">
        <v>139</v>
      </c>
      <c r="M119">
        <f>15287.1+3820.2</f>
        <v>19107.3</v>
      </c>
    </row>
    <row r="120" spans="1:13" ht="36" hidden="1" customHeight="1" outlineLevel="1">
      <c r="A120" s="2"/>
      <c r="B120" s="2" t="s">
        <v>155</v>
      </c>
      <c r="C120" s="17" t="s">
        <v>37</v>
      </c>
      <c r="D120" s="18"/>
      <c r="E120" s="14">
        <f>'2020 г. для давлат (2'!E120</f>
        <v>0</v>
      </c>
      <c r="F120" s="9" t="e">
        <f t="shared" si="11"/>
        <v>#DIV/0!</v>
      </c>
      <c r="G120" s="18">
        <f t="shared" si="9"/>
        <v>0</v>
      </c>
      <c r="H120" s="86"/>
      <c r="I120" s="9" t="e">
        <f t="shared" si="10"/>
        <v>#DIV/0!</v>
      </c>
      <c r="J120" s="11" t="s">
        <v>139</v>
      </c>
    </row>
    <row r="121" spans="1:13" ht="24" customHeight="1" collapsed="1">
      <c r="A121" s="2"/>
      <c r="B121" s="150" t="s">
        <v>219</v>
      </c>
      <c r="C121" s="17" t="s">
        <v>37</v>
      </c>
      <c r="D121" s="91"/>
      <c r="E121" s="14">
        <f>'2020 г. для давлат (2'!E121</f>
        <v>1158.5</v>
      </c>
      <c r="F121" s="9"/>
      <c r="G121" s="18">
        <f t="shared" si="9"/>
        <v>1158.5</v>
      </c>
      <c r="H121" s="86">
        <v>512.4</v>
      </c>
      <c r="I121" s="9"/>
      <c r="J121" s="11"/>
    </row>
    <row r="122" spans="1:13" ht="15.75">
      <c r="A122" s="2"/>
      <c r="B122" s="3" t="s">
        <v>156</v>
      </c>
      <c r="C122" s="17" t="s">
        <v>37</v>
      </c>
      <c r="D122" s="6">
        <f>D102+D113</f>
        <v>154349.93036745215</v>
      </c>
      <c r="E122" s="14">
        <f>'2020 г. для давлат (2'!E122</f>
        <v>203898.13999999998</v>
      </c>
      <c r="F122" s="10">
        <f>ROUND(E122/D122*100,1)</f>
        <v>132.1</v>
      </c>
      <c r="G122" s="10">
        <f t="shared" si="9"/>
        <v>49548.209632547834</v>
      </c>
      <c r="H122" s="10">
        <v>74738.700000000012</v>
      </c>
      <c r="I122" s="10">
        <f t="shared" si="10"/>
        <v>272.8</v>
      </c>
      <c r="J122" s="11" t="s">
        <v>139</v>
      </c>
    </row>
    <row r="123" spans="1:13" ht="15.75">
      <c r="A123" s="2" t="s">
        <v>157</v>
      </c>
      <c r="B123" s="3" t="s">
        <v>158</v>
      </c>
      <c r="C123" s="17" t="s">
        <v>37</v>
      </c>
      <c r="D123" s="142" t="s">
        <v>73</v>
      </c>
      <c r="E123" s="14" t="str">
        <f>'2020 г. для давлат (2'!E123</f>
        <v xml:space="preserve"> - </v>
      </c>
      <c r="F123" s="10" t="s">
        <v>73</v>
      </c>
      <c r="G123" s="10" t="s">
        <v>73</v>
      </c>
      <c r="H123" s="10" t="s">
        <v>73</v>
      </c>
      <c r="I123" s="10" t="s">
        <v>73</v>
      </c>
    </row>
    <row r="124" spans="1:13" ht="27" customHeight="1">
      <c r="A124" s="2"/>
      <c r="B124" s="143" t="s">
        <v>159</v>
      </c>
      <c r="C124" s="17" t="s">
        <v>37</v>
      </c>
      <c r="D124" s="142" t="s">
        <v>73</v>
      </c>
      <c r="E124" s="14" t="str">
        <f>'2020 г. для давлат (2'!E124</f>
        <v xml:space="preserve"> - </v>
      </c>
      <c r="F124" s="10" t="s">
        <v>73</v>
      </c>
      <c r="G124" s="10" t="s">
        <v>73</v>
      </c>
      <c r="H124" s="9" t="s">
        <v>73</v>
      </c>
      <c r="I124" s="10" t="s">
        <v>73</v>
      </c>
      <c r="J124" s="36"/>
      <c r="K124" s="1"/>
    </row>
    <row r="125" spans="1:13" ht="18" hidden="1" customHeight="1" outlineLevel="1">
      <c r="A125" s="2"/>
      <c r="B125" s="12" t="s">
        <v>160</v>
      </c>
      <c r="C125" s="17" t="s">
        <v>37</v>
      </c>
      <c r="D125" s="91"/>
      <c r="E125" s="14">
        <f>'2020 г. для давлат (2'!E125</f>
        <v>0</v>
      </c>
      <c r="F125" s="9"/>
      <c r="G125" s="9"/>
      <c r="H125" s="9"/>
      <c r="I125" s="9"/>
    </row>
    <row r="126" spans="1:13" ht="24" customHeight="1" collapsed="1">
      <c r="A126" s="2" t="s">
        <v>161</v>
      </c>
      <c r="B126" s="3" t="s">
        <v>162</v>
      </c>
      <c r="C126" s="17" t="s">
        <v>37</v>
      </c>
      <c r="D126" s="6">
        <f>SUM(D128:D131)</f>
        <v>640027.94513565209</v>
      </c>
      <c r="E126" s="14">
        <f>'2020 г. для давлат (2'!E126</f>
        <v>565747.19999999995</v>
      </c>
      <c r="F126" s="10">
        <f>ROUND(E126/D126*100,1)</f>
        <v>88.4</v>
      </c>
      <c r="G126" s="10">
        <f t="shared" ref="G126:G147" si="12">E126-D126</f>
        <v>-74280.745135652134</v>
      </c>
      <c r="H126" s="10">
        <v>494777.1</v>
      </c>
      <c r="I126" s="10">
        <f>ROUND(E126/H126*100,1)</f>
        <v>114.3</v>
      </c>
      <c r="J126" s="11" t="s">
        <v>139</v>
      </c>
      <c r="M126" s="11"/>
    </row>
    <row r="127" spans="1:13" ht="15.75">
      <c r="A127" s="2"/>
      <c r="B127" s="2" t="s">
        <v>163</v>
      </c>
      <c r="C127" s="17" t="s">
        <v>37</v>
      </c>
      <c r="D127" s="18"/>
      <c r="E127" s="14">
        <f>'2020 г. для давлат (2'!E127</f>
        <v>0</v>
      </c>
      <c r="F127" s="9"/>
      <c r="G127" s="9">
        <f t="shared" si="12"/>
        <v>0</v>
      </c>
      <c r="H127" s="9"/>
      <c r="I127" s="9"/>
      <c r="M127" s="11"/>
    </row>
    <row r="128" spans="1:13" ht="19.5" customHeight="1">
      <c r="A128" s="2"/>
      <c r="B128" s="119" t="s">
        <v>164</v>
      </c>
      <c r="C128" s="17" t="s">
        <v>37</v>
      </c>
      <c r="D128" s="91">
        <v>258978.64600000001</v>
      </c>
      <c r="E128" s="14">
        <f>'2020 г. для давлат (2'!E128</f>
        <v>230232.6</v>
      </c>
      <c r="F128" s="18">
        <f>ROUND(E128/D128*100,1)</f>
        <v>88.9</v>
      </c>
      <c r="G128" s="18">
        <f t="shared" si="12"/>
        <v>-28746.046000000002</v>
      </c>
      <c r="H128" s="86">
        <v>203468.4</v>
      </c>
      <c r="I128" s="9">
        <f>ROUND(E128/H128*100,1)</f>
        <v>113.2</v>
      </c>
      <c r="J128" s="11" t="s">
        <v>139</v>
      </c>
    </row>
    <row r="129" spans="1:13" ht="18" customHeight="1">
      <c r="A129" s="2"/>
      <c r="B129" s="119" t="s">
        <v>165</v>
      </c>
      <c r="C129" s="17" t="s">
        <v>37</v>
      </c>
      <c r="D129" s="91">
        <f>([1]Год!B60+[1]Год!B61)/1000</f>
        <v>222015.84700000001</v>
      </c>
      <c r="E129" s="14">
        <f>'2020 г. для давлат (2'!E129</f>
        <v>163355.1</v>
      </c>
      <c r="F129" s="18">
        <f>ROUND(E129/D129*100,1)</f>
        <v>73.599999999999994</v>
      </c>
      <c r="G129" s="18">
        <f t="shared" si="12"/>
        <v>-58660.747000000003</v>
      </c>
      <c r="H129" s="86">
        <v>146470.20000000001</v>
      </c>
      <c r="I129" s="9">
        <f>ROUND(E129/H129*100,1)</f>
        <v>111.5</v>
      </c>
      <c r="J129" s="11" t="s">
        <v>139</v>
      </c>
    </row>
    <row r="130" spans="1:13" ht="31.5">
      <c r="A130" s="2"/>
      <c r="B130" s="119" t="s">
        <v>166</v>
      </c>
      <c r="C130" s="17" t="s">
        <v>37</v>
      </c>
      <c r="D130" s="91">
        <f>[1]Год!B62/1000</f>
        <v>135690.60200000001</v>
      </c>
      <c r="E130" s="14">
        <f>'2020 г. для давлат (2'!E130</f>
        <v>143823</v>
      </c>
      <c r="F130" s="18">
        <f>ROUND(E130/D130*100,1)</f>
        <v>106</v>
      </c>
      <c r="G130" s="18">
        <f t="shared" si="12"/>
        <v>8132.3979999999865</v>
      </c>
      <c r="H130" s="86">
        <v>116728.2</v>
      </c>
      <c r="I130" s="9">
        <f>ROUND(E130/H130*100,1)</f>
        <v>123.2</v>
      </c>
      <c r="J130" s="11" t="s">
        <v>139</v>
      </c>
    </row>
    <row r="131" spans="1:13" ht="15.75">
      <c r="A131" s="2"/>
      <c r="B131" s="119" t="s">
        <v>167</v>
      </c>
      <c r="C131" s="17" t="s">
        <v>37</v>
      </c>
      <c r="D131" s="91">
        <f>[1]Год!B65/1000</f>
        <v>23342.850135652174</v>
      </c>
      <c r="E131" s="14">
        <f>'2020 г. для давлат (2'!E131</f>
        <v>28336.5</v>
      </c>
      <c r="F131" s="18">
        <f>ROUND(E131/D131*100,1)</f>
        <v>121.4</v>
      </c>
      <c r="G131" s="18">
        <f t="shared" si="12"/>
        <v>4993.6498643478262</v>
      </c>
      <c r="H131" s="86">
        <v>28110.3</v>
      </c>
      <c r="I131" s="9">
        <f>ROUND(E131/H131*100,1)</f>
        <v>100.8</v>
      </c>
      <c r="J131" s="11" t="s">
        <v>139</v>
      </c>
    </row>
    <row r="132" spans="1:13" ht="23.25" customHeight="1">
      <c r="A132" s="13" t="s">
        <v>168</v>
      </c>
      <c r="B132" s="144" t="s">
        <v>169</v>
      </c>
      <c r="C132" s="17" t="s">
        <v>37</v>
      </c>
      <c r="D132" s="91"/>
      <c r="E132" s="14">
        <f>'2020 г. для давлат (2'!E132</f>
        <v>2549881</v>
      </c>
      <c r="F132" s="6"/>
      <c r="G132" s="6">
        <f>E132-D132</f>
        <v>2549881</v>
      </c>
      <c r="H132" s="86">
        <v>2400381</v>
      </c>
      <c r="I132" s="10">
        <f>IF(H132&gt;0,ROUND(E132/H132*100,1),0)</f>
        <v>106.2</v>
      </c>
      <c r="K132" t="s">
        <v>170</v>
      </c>
    </row>
    <row r="133" spans="1:13" ht="15.75">
      <c r="A133" s="2"/>
      <c r="B133" s="2" t="s">
        <v>12</v>
      </c>
      <c r="C133" s="17" t="s">
        <v>37</v>
      </c>
      <c r="D133" s="91"/>
      <c r="E133" s="14">
        <f>'2020 г. для давлат (2'!E133</f>
        <v>0</v>
      </c>
      <c r="F133" s="9"/>
      <c r="G133" s="9">
        <f t="shared" si="12"/>
        <v>0</v>
      </c>
      <c r="H133" s="86"/>
      <c r="I133" s="9"/>
    </row>
    <row r="134" spans="1:13" ht="24.75" customHeight="1">
      <c r="A134" s="2"/>
      <c r="B134" s="8" t="s">
        <v>171</v>
      </c>
      <c r="C134" s="17" t="s">
        <v>37</v>
      </c>
      <c r="D134" s="87"/>
      <c r="E134" s="14">
        <f>'2020 г. для давлат (2'!E134</f>
        <v>2015772</v>
      </c>
      <c r="F134" s="7"/>
      <c r="G134" s="7">
        <f t="shared" si="12"/>
        <v>2015772</v>
      </c>
      <c r="H134" s="86">
        <v>721301</v>
      </c>
      <c r="I134" s="7">
        <f>IF(H134&gt;0,ROUND(E134/H134*100,1),0)</f>
        <v>279.5</v>
      </c>
      <c r="K134" t="s">
        <v>170</v>
      </c>
      <c r="L134" t="s">
        <v>170</v>
      </c>
      <c r="M134" t="s">
        <v>172</v>
      </c>
    </row>
    <row r="135" spans="1:13" ht="15.75">
      <c r="A135" s="2"/>
      <c r="B135" s="2" t="s">
        <v>163</v>
      </c>
      <c r="C135" s="17" t="s">
        <v>37</v>
      </c>
      <c r="D135" s="91"/>
      <c r="E135" s="14">
        <f>'2020 г. для давлат (2'!E135</f>
        <v>0</v>
      </c>
      <c r="F135" s="9"/>
      <c r="G135" s="9">
        <f t="shared" si="12"/>
        <v>0</v>
      </c>
      <c r="H135" s="86"/>
      <c r="I135" s="9"/>
    </row>
    <row r="136" spans="1:13" ht="15.75">
      <c r="A136" s="2"/>
      <c r="B136" s="119" t="s">
        <v>173</v>
      </c>
      <c r="C136" s="17" t="s">
        <v>37</v>
      </c>
      <c r="D136" s="91"/>
      <c r="E136" s="14">
        <f>'2020 г. для давлат (2'!E136</f>
        <v>1129371</v>
      </c>
      <c r="F136" s="9"/>
      <c r="G136" s="9">
        <f t="shared" si="12"/>
        <v>1129371</v>
      </c>
      <c r="H136" s="86">
        <v>1162668</v>
      </c>
      <c r="I136" s="9">
        <f>IF(H136&gt;0,ROUND(E136/H136*100,1),0)</f>
        <v>97.1</v>
      </c>
      <c r="K136" t="s">
        <v>170</v>
      </c>
      <c r="L136" t="s">
        <v>170</v>
      </c>
      <c r="M136" t="s">
        <v>174</v>
      </c>
    </row>
    <row r="137" spans="1:13" ht="15.75">
      <c r="A137" s="2"/>
      <c r="B137" s="119" t="s">
        <v>175</v>
      </c>
      <c r="C137" s="17" t="s">
        <v>37</v>
      </c>
      <c r="D137" s="91"/>
      <c r="E137" s="14">
        <f>'2020 г. для давлат (2'!E137</f>
        <v>1324</v>
      </c>
      <c r="F137" s="9"/>
      <c r="G137" s="9">
        <f t="shared" si="12"/>
        <v>1324</v>
      </c>
      <c r="H137" s="86">
        <v>332</v>
      </c>
      <c r="I137" s="9">
        <f>IF(H137&gt;0,ROUND(E137/H137*100,1),0)</f>
        <v>398.8</v>
      </c>
      <c r="K137" t="s">
        <v>170</v>
      </c>
      <c r="L137" t="s">
        <v>170</v>
      </c>
      <c r="M137" t="s">
        <v>176</v>
      </c>
    </row>
    <row r="138" spans="1:13" ht="15.75">
      <c r="A138" s="2"/>
      <c r="B138" s="12" t="s">
        <v>177</v>
      </c>
      <c r="C138" s="17" t="s">
        <v>37</v>
      </c>
      <c r="D138" s="91"/>
      <c r="E138" s="14">
        <f>'2020 г. для давлат (2'!E138</f>
        <v>534109</v>
      </c>
      <c r="F138" s="9"/>
      <c r="G138" s="9">
        <f t="shared" si="12"/>
        <v>534109</v>
      </c>
      <c r="H138" s="86">
        <v>489479</v>
      </c>
      <c r="I138" s="9">
        <f>IF(H138&gt;0,ROUND(E138/H138*100,1),0)</f>
        <v>109.1</v>
      </c>
      <c r="K138" t="s">
        <v>170</v>
      </c>
      <c r="L138" t="s">
        <v>170</v>
      </c>
      <c r="M138" t="s">
        <v>178</v>
      </c>
    </row>
    <row r="139" spans="1:13" ht="15.75">
      <c r="A139" s="2"/>
      <c r="B139" s="2" t="s">
        <v>52</v>
      </c>
      <c r="C139" s="17" t="s">
        <v>37</v>
      </c>
      <c r="D139" s="91"/>
      <c r="E139" s="14">
        <f>'2020 г. для давлат (2'!E139</f>
        <v>0</v>
      </c>
      <c r="F139" s="9"/>
      <c r="G139" s="9">
        <f t="shared" si="12"/>
        <v>0</v>
      </c>
      <c r="H139" s="86"/>
      <c r="I139" s="9"/>
      <c r="K139" t="s">
        <v>170</v>
      </c>
      <c r="L139" t="s">
        <v>170</v>
      </c>
    </row>
    <row r="140" spans="1:13" ht="20.25" customHeight="1">
      <c r="A140" s="145"/>
      <c r="B140" s="146" t="s">
        <v>179</v>
      </c>
      <c r="C140" s="17" t="s">
        <v>37</v>
      </c>
      <c r="D140" s="147"/>
      <c r="E140" s="14">
        <f>'2020 г. для давлат (2'!E140</f>
        <v>247868</v>
      </c>
      <c r="F140" s="9"/>
      <c r="G140" s="149">
        <f t="shared" si="12"/>
        <v>247868</v>
      </c>
      <c r="H140" s="86">
        <v>222395</v>
      </c>
      <c r="I140" s="9">
        <f>IF(H140&gt;0,ROUND(E140/H140*100,1),0)</f>
        <v>111.5</v>
      </c>
      <c r="K140" t="s">
        <v>170</v>
      </c>
      <c r="L140" t="s">
        <v>170</v>
      </c>
      <c r="M140" t="s">
        <v>180</v>
      </c>
    </row>
    <row r="141" spans="1:13" ht="15.75">
      <c r="A141" s="2"/>
      <c r="B141" s="2" t="s">
        <v>163</v>
      </c>
      <c r="C141" s="17" t="s">
        <v>37</v>
      </c>
      <c r="D141" s="91"/>
      <c r="E141" s="14">
        <f>'2020 г. для давлат (2'!E141</f>
        <v>0</v>
      </c>
      <c r="F141" s="9"/>
      <c r="G141" s="9">
        <f t="shared" si="12"/>
        <v>0</v>
      </c>
      <c r="H141" s="86"/>
      <c r="I141" s="9"/>
      <c r="K141" t="s">
        <v>170</v>
      </c>
      <c r="L141" t="s">
        <v>170</v>
      </c>
    </row>
    <row r="142" spans="1:13" ht="20.25" customHeight="1">
      <c r="A142" s="2"/>
      <c r="B142" s="119" t="s">
        <v>181</v>
      </c>
      <c r="C142" s="17" t="s">
        <v>37</v>
      </c>
      <c r="D142" s="91"/>
      <c r="E142" s="14">
        <f>'2020 г. для давлат (2'!E142</f>
        <v>112841</v>
      </c>
      <c r="F142" s="9"/>
      <c r="G142" s="9">
        <f t="shared" si="12"/>
        <v>112841</v>
      </c>
      <c r="H142" s="86">
        <v>100995</v>
      </c>
      <c r="I142" s="9">
        <f>IF(H142&gt;0,ROUND(E142/H142*100,1),0)</f>
        <v>111.7</v>
      </c>
      <c r="K142" t="s">
        <v>170</v>
      </c>
      <c r="L142" t="s">
        <v>170</v>
      </c>
      <c r="M142" t="s">
        <v>182</v>
      </c>
    </row>
    <row r="143" spans="1:13" ht="15.75">
      <c r="A143" s="2"/>
      <c r="B143" s="119" t="s">
        <v>183</v>
      </c>
      <c r="C143" s="17" t="s">
        <v>37</v>
      </c>
      <c r="D143" s="91"/>
      <c r="E143" s="14">
        <f>'2020 г. для давлат (2'!E143</f>
        <v>128221</v>
      </c>
      <c r="F143" s="9"/>
      <c r="G143" s="9">
        <f t="shared" si="12"/>
        <v>128221</v>
      </c>
      <c r="H143" s="86">
        <v>112901</v>
      </c>
      <c r="I143" s="9">
        <f>IF(H143&gt;0,ROUND(E143/H143*100,1),0)</f>
        <v>113.6</v>
      </c>
      <c r="K143" t="s">
        <v>170</v>
      </c>
      <c r="L143" t="s">
        <v>170</v>
      </c>
      <c r="M143" t="s">
        <v>184</v>
      </c>
    </row>
    <row r="144" spans="1:13" ht="15.75">
      <c r="A144" s="2"/>
      <c r="B144" s="146" t="s">
        <v>185</v>
      </c>
      <c r="C144" s="17" t="s">
        <v>37</v>
      </c>
      <c r="D144" s="91"/>
      <c r="E144" s="14">
        <f>'2020 г. для давлат (2'!E144</f>
        <v>5743</v>
      </c>
      <c r="F144" s="9"/>
      <c r="G144" s="9">
        <f t="shared" si="12"/>
        <v>5743</v>
      </c>
      <c r="H144" s="86">
        <v>27449</v>
      </c>
      <c r="I144" s="9">
        <f>IF(H144&gt;0,ROUND(E144/H144*100,1),0)</f>
        <v>20.9</v>
      </c>
      <c r="K144" t="s">
        <v>170</v>
      </c>
      <c r="L144" t="s">
        <v>170</v>
      </c>
      <c r="M144" t="s">
        <v>186</v>
      </c>
    </row>
    <row r="145" spans="1:12" ht="18" customHeight="1">
      <c r="A145" s="2"/>
      <c r="B145" s="2" t="s">
        <v>163</v>
      </c>
      <c r="C145" s="17" t="s">
        <v>37</v>
      </c>
      <c r="D145" s="91"/>
      <c r="E145" s="14">
        <f>'2020 г. для давлат (2'!E145</f>
        <v>0</v>
      </c>
      <c r="F145" s="9"/>
      <c r="G145" s="9">
        <f t="shared" si="12"/>
        <v>0</v>
      </c>
      <c r="H145" s="86"/>
      <c r="I145" s="9"/>
      <c r="K145" t="s">
        <v>170</v>
      </c>
      <c r="L145" t="s">
        <v>170</v>
      </c>
    </row>
    <row r="146" spans="1:12" ht="15.75">
      <c r="A146" s="2"/>
      <c r="B146" s="138" t="s">
        <v>187</v>
      </c>
      <c r="C146" s="17" t="s">
        <v>37</v>
      </c>
      <c r="D146" s="91"/>
      <c r="E146" s="14">
        <f>'2020 г. для давлат (2'!E146</f>
        <v>72760</v>
      </c>
      <c r="F146" s="9"/>
      <c r="G146" s="9">
        <f t="shared" si="12"/>
        <v>72760</v>
      </c>
      <c r="H146" s="86">
        <v>168</v>
      </c>
      <c r="I146" s="9">
        <f>IF(H146&gt;0,ROUND(E146/H146*100,1),0)</f>
        <v>43309.5</v>
      </c>
      <c r="K146" t="s">
        <v>170</v>
      </c>
    </row>
    <row r="147" spans="1:12" ht="18.75" hidden="1" customHeight="1" outlineLevel="1">
      <c r="A147" s="2" t="s">
        <v>188</v>
      </c>
      <c r="B147" s="12" t="s">
        <v>189</v>
      </c>
      <c r="C147" s="17" t="s">
        <v>37</v>
      </c>
      <c r="D147" s="91"/>
      <c r="E147" s="14">
        <f>'2020 г. для давлат (2'!E147</f>
        <v>0</v>
      </c>
      <c r="F147" s="9"/>
      <c r="G147" s="9">
        <f t="shared" si="12"/>
        <v>0</v>
      </c>
      <c r="H147" s="86"/>
      <c r="I147" s="9">
        <f>IF(H147&gt;0,ROUND(E147/H147*100,1),0)</f>
        <v>0</v>
      </c>
      <c r="K147" t="s">
        <v>170</v>
      </c>
    </row>
    <row r="148" spans="1:12" ht="15.75" collapsed="1">
      <c r="A148" s="2" t="s">
        <v>213</v>
      </c>
      <c r="B148" s="12" t="s">
        <v>190</v>
      </c>
      <c r="C148" s="17" t="s">
        <v>37</v>
      </c>
      <c r="D148" s="91"/>
      <c r="E148" s="14">
        <f>'2020 г. для давлат (2'!E148</f>
        <v>99572.5</v>
      </c>
      <c r="F148" s="9"/>
      <c r="G148" s="9"/>
      <c r="H148" s="86">
        <v>48067</v>
      </c>
      <c r="I148" s="9">
        <f>ROUND(E148/H148*100,1)</f>
        <v>207.2</v>
      </c>
      <c r="K148" t="s">
        <v>170</v>
      </c>
      <c r="L148" t="s">
        <v>191</v>
      </c>
    </row>
    <row r="149" spans="1:12" ht="15.75" hidden="1" outlineLevel="1">
      <c r="A149" s="2"/>
      <c r="B149" s="2" t="s">
        <v>12</v>
      </c>
      <c r="C149" s="17" t="s">
        <v>37</v>
      </c>
      <c r="D149" s="91"/>
      <c r="E149" s="14">
        <f>'2020 г. для давлат (2'!E149</f>
        <v>0</v>
      </c>
      <c r="F149" s="9"/>
      <c r="G149" s="9"/>
      <c r="H149" s="86"/>
      <c r="I149" s="9"/>
      <c r="K149" t="s">
        <v>170</v>
      </c>
    </row>
    <row r="150" spans="1:12" ht="15.75" hidden="1" outlineLevel="1">
      <c r="A150" s="2"/>
      <c r="B150" s="12" t="s">
        <v>192</v>
      </c>
      <c r="C150" s="17" t="s">
        <v>37</v>
      </c>
      <c r="D150" s="91"/>
      <c r="E150" s="14">
        <f>'2020 г. для давлат (2'!E150</f>
        <v>0</v>
      </c>
      <c r="F150" s="9"/>
      <c r="G150" s="9"/>
      <c r="H150" s="86"/>
      <c r="I150" s="9"/>
      <c r="K150" t="s">
        <v>170</v>
      </c>
    </row>
    <row r="151" spans="1:12" ht="15.75" hidden="1" outlineLevel="1">
      <c r="A151" s="2"/>
      <c r="B151" s="12" t="s">
        <v>193</v>
      </c>
      <c r="C151" s="17" t="s">
        <v>37</v>
      </c>
      <c r="D151" s="91"/>
      <c r="E151" s="14">
        <f>'2020 г. для давлат (2'!E151</f>
        <v>0</v>
      </c>
      <c r="F151" s="9"/>
      <c r="G151" s="9"/>
      <c r="H151" s="86"/>
      <c r="I151" s="9" t="e">
        <f>ROUND(E151/H151*100,1)</f>
        <v>#DIV/0!</v>
      </c>
      <c r="K151" t="s">
        <v>170</v>
      </c>
    </row>
    <row r="152" spans="1:12" ht="15.75" collapsed="1">
      <c r="A152" s="2" t="s">
        <v>214</v>
      </c>
      <c r="B152" s="12" t="s">
        <v>194</v>
      </c>
      <c r="C152" s="17" t="s">
        <v>37</v>
      </c>
      <c r="D152" s="91"/>
      <c r="E152" s="14">
        <f>'2020 г. для давлат (2'!E152</f>
        <v>265619</v>
      </c>
      <c r="F152" s="9"/>
      <c r="G152" s="9"/>
      <c r="H152" s="86">
        <v>195964</v>
      </c>
      <c r="I152" s="9">
        <f>ROUND(E152/H152*100,1)</f>
        <v>135.5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40"/>
      <c r="E153" s="40"/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40"/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40"/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40"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40"/>
      <c r="F159" s="40"/>
      <c r="G159" s="40"/>
      <c r="H159" s="41"/>
      <c r="I159" s="40" t="e">
        <f>ROUND(E159/H159*100,1)</f>
        <v>#DIV/0!</v>
      </c>
    </row>
    <row r="160" spans="1:12" ht="68.25" customHeight="1" collapsed="1">
      <c r="E160" s="11"/>
      <c r="H160" s="44"/>
    </row>
    <row r="161" spans="1:9" ht="37.5">
      <c r="A161" s="32"/>
      <c r="B161" s="45" t="s">
        <v>221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>
      <c r="A165" s="32"/>
      <c r="B165" s="46" t="s">
        <v>206</v>
      </c>
      <c r="C165" s="46"/>
      <c r="D165" s="46"/>
      <c r="E165" s="46"/>
      <c r="F165" s="48"/>
      <c r="G165" s="46" t="s">
        <v>220</v>
      </c>
      <c r="H165" s="46"/>
      <c r="I165" s="48"/>
    </row>
    <row r="166" spans="1:9" ht="18.75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>
      <c r="A167" s="32"/>
      <c r="B167" s="46" t="s">
        <v>215</v>
      </c>
      <c r="C167" s="46"/>
      <c r="D167" s="46"/>
      <c r="E167" s="46"/>
      <c r="F167" s="48"/>
      <c r="G167" s="46" t="s">
        <v>216</v>
      </c>
      <c r="H167" s="46"/>
      <c r="I167" s="48"/>
    </row>
    <row r="168" spans="1:9" ht="18.75">
      <c r="A168" s="32"/>
      <c r="B168" s="46"/>
      <c r="C168" s="46"/>
      <c r="D168" s="46"/>
      <c r="E168" s="46"/>
      <c r="F168" s="48"/>
      <c r="G168" s="46"/>
      <c r="H168" s="46"/>
      <c r="I168" s="48"/>
    </row>
    <row r="169" spans="1:9" ht="18.75">
      <c r="A169" s="32"/>
      <c r="B169" s="46"/>
      <c r="C169" s="46"/>
      <c r="D169" s="46"/>
      <c r="E169" s="46"/>
      <c r="F169" s="48"/>
      <c r="G169" s="46"/>
      <c r="H169" s="46"/>
      <c r="I169" s="48"/>
    </row>
    <row r="170" spans="1:9" ht="15.75">
      <c r="B170" s="49"/>
      <c r="C170" s="49"/>
      <c r="D170" s="49"/>
      <c r="E170" s="49"/>
      <c r="G170" s="49"/>
    </row>
    <row r="171" spans="1:9" ht="18.75">
      <c r="B171" s="46"/>
      <c r="C171" s="49"/>
      <c r="D171" s="49"/>
      <c r="E171" s="49"/>
      <c r="G171" s="49"/>
    </row>
    <row r="172" spans="1:9" ht="15.75">
      <c r="B172" s="49"/>
      <c r="C172" s="49"/>
      <c r="D172" s="49"/>
      <c r="E172" s="49"/>
      <c r="G172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.19685039370078741" top="0.51181102362204722" bottom="0.15748031496062992" header="0.15748031496062992" footer="0.11811023622047245"/>
  <pageSetup paperSize="9" scale="70" orientation="portrait" blackAndWhite="1" r:id="rId1"/>
  <headerFooter alignWithMargins="0"/>
  <rowBreaks count="1" manualBreakCount="1">
    <brk id="92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70"/>
  <sheetViews>
    <sheetView showZeros="0" view="pageBreakPreview" zoomScale="90" zoomScaleNormal="100" zoomScaleSheetLayoutView="90" workbookViewId="0">
      <pane ySplit="3" topLeftCell="A4" activePane="bottomLeft" state="frozen"/>
      <selection activeCell="K11" sqref="K11"/>
      <selection pane="bottomLeft" activeCell="L13" sqref="L13"/>
    </sheetView>
  </sheetViews>
  <sheetFormatPr defaultRowHeight="12.75" outlineLevelRow="2" outlineLevelCol="1"/>
  <cols>
    <col min="1" max="1" width="6.14062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5.7109375" customWidth="1" outlineLevel="1"/>
    <col min="11" max="11" width="13.28515625" customWidth="1" outlineLevel="1"/>
    <col min="12" max="12" width="12.42578125" customWidth="1" outlineLevel="1"/>
    <col min="13" max="13" width="13.5703125" customWidth="1" outlineLevel="1"/>
    <col min="14" max="14" width="12" customWidth="1" outlineLevel="1"/>
  </cols>
  <sheetData>
    <row r="1" spans="1:10" ht="48" customHeight="1">
      <c r="A1" s="282" t="s">
        <v>269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255</v>
      </c>
      <c r="E2" s="289"/>
      <c r="F2" s="289"/>
      <c r="G2" s="289"/>
      <c r="H2" s="290" t="s">
        <v>256</v>
      </c>
      <c r="I2" s="288" t="s">
        <v>3</v>
      </c>
    </row>
    <row r="3" spans="1:10" ht="22.5" customHeight="1">
      <c r="A3" s="286"/>
      <c r="B3" s="287"/>
      <c r="C3" s="287"/>
      <c r="D3" s="239" t="s">
        <v>4</v>
      </c>
      <c r="E3" s="238" t="s">
        <v>5</v>
      </c>
      <c r="F3" s="238" t="s">
        <v>6</v>
      </c>
      <c r="G3" s="238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41">
        <f>D7+D8+D9</f>
        <v>2283.42</v>
      </c>
      <c r="E5" s="241">
        <f>E7+E8+E9</f>
        <v>2347.5030000000002</v>
      </c>
      <c r="F5" s="241">
        <f>ROUND(E5/D5*100,1)</f>
        <v>102.8</v>
      </c>
      <c r="G5" s="241">
        <f>E5-D5</f>
        <v>64.083000000000084</v>
      </c>
      <c r="H5" s="6">
        <f>H7+H8+H9</f>
        <v>2375.19</v>
      </c>
      <c r="I5" s="6">
        <f>IF(H5&gt;0,ROUND(E5/H5*100,1),0)</f>
        <v>98.8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/>
      <c r="I6" s="7"/>
    </row>
    <row r="7" spans="1:10" ht="15.75">
      <c r="A7" s="7"/>
      <c r="B7" s="218" t="s">
        <v>13</v>
      </c>
      <c r="C7" s="7" t="s">
        <v>11</v>
      </c>
      <c r="D7" s="34">
        <v>2014.16</v>
      </c>
      <c r="E7" s="34">
        <v>2068.13</v>
      </c>
      <c r="F7" s="34">
        <f>ROUND(E7/D7*100,1)</f>
        <v>102.7</v>
      </c>
      <c r="G7" s="34">
        <f>E7-D7</f>
        <v>53.970000000000027</v>
      </c>
      <c r="H7" s="34">
        <v>2168.8719999999998</v>
      </c>
      <c r="I7" s="9">
        <f>IF(H7&gt;0,ROUND(E7/H7*100,1),0)</f>
        <v>95.4</v>
      </c>
    </row>
    <row r="8" spans="1:10" ht="15.75">
      <c r="A8" s="7"/>
      <c r="B8" s="218" t="s">
        <v>14</v>
      </c>
      <c r="C8" s="7" t="s">
        <v>11</v>
      </c>
      <c r="D8" s="34">
        <v>27.4</v>
      </c>
      <c r="E8" s="34">
        <v>29.041</v>
      </c>
      <c r="F8" s="34">
        <f>ROUND(E8/D8*100,1)</f>
        <v>106</v>
      </c>
      <c r="G8" s="34">
        <f>E8-D8</f>
        <v>1.6410000000000018</v>
      </c>
      <c r="H8" s="34">
        <v>31.172000000000001</v>
      </c>
      <c r="I8" s="9">
        <f>IF(H8&gt;0,ROUND(E8/H8*100,1),0)</f>
        <v>93.2</v>
      </c>
    </row>
    <row r="9" spans="1:10" ht="15.75">
      <c r="A9" s="7"/>
      <c r="B9" s="218" t="s">
        <v>15</v>
      </c>
      <c r="C9" s="7" t="s">
        <v>11</v>
      </c>
      <c r="D9" s="34">
        <v>241.86</v>
      </c>
      <c r="E9" s="34">
        <v>250.33199999999999</v>
      </c>
      <c r="F9" s="34">
        <f>ROUND(E9/D9*100,1)</f>
        <v>103.5</v>
      </c>
      <c r="G9" s="34">
        <f>E9-D9</f>
        <v>8.47199999999998</v>
      </c>
      <c r="H9" s="34">
        <v>175.14599999999999</v>
      </c>
      <c r="I9" s="9">
        <f>IF(H9&gt;0,ROUND(E9/H9*100,1),0)</f>
        <v>142.9</v>
      </c>
    </row>
    <row r="10" spans="1:10" ht="15.75">
      <c r="A10" s="7" t="s">
        <v>16</v>
      </c>
      <c r="B10" s="217" t="s">
        <v>17</v>
      </c>
      <c r="C10" s="240" t="s">
        <v>11</v>
      </c>
      <c r="D10" s="6">
        <f>D12+D13</f>
        <v>325</v>
      </c>
      <c r="E10" s="6">
        <f>E12+E13</f>
        <v>188.54000000000002</v>
      </c>
      <c r="F10" s="241">
        <f>ROUND(E10/D10*100,1)</f>
        <v>58</v>
      </c>
      <c r="G10" s="241">
        <f>E10-D10</f>
        <v>-136.45999999999998</v>
      </c>
      <c r="H10" s="6">
        <f>H12+H13</f>
        <v>248.95499999999998</v>
      </c>
      <c r="I10" s="240">
        <f t="shared" ref="I10:I28" si="0">IF(H10&gt;0,ROUND(E10/H10*100,1),0)</f>
        <v>75.7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125</v>
      </c>
      <c r="E12" s="34">
        <v>117.587</v>
      </c>
      <c r="F12" s="34">
        <f>ROUND(E12/D12*100,1)</f>
        <v>94.1</v>
      </c>
      <c r="G12" s="34">
        <f>E12-D12</f>
        <v>-7.4129999999999967</v>
      </c>
      <c r="H12" s="34">
        <v>116.652</v>
      </c>
      <c r="I12" s="9">
        <f t="shared" si="0"/>
        <v>100.8</v>
      </c>
    </row>
    <row r="13" spans="1:10" ht="15.75">
      <c r="A13" s="7"/>
      <c r="B13" s="218" t="s">
        <v>19</v>
      </c>
      <c r="C13" s="7" t="s">
        <v>11</v>
      </c>
      <c r="D13" s="34">
        <v>200</v>
      </c>
      <c r="E13" s="34">
        <v>70.953000000000003</v>
      </c>
      <c r="F13" s="34">
        <f>ROUND(E13/D13*100,1)</f>
        <v>35.5</v>
      </c>
      <c r="G13" s="34">
        <f>E13-D13</f>
        <v>-129.047</v>
      </c>
      <c r="H13" s="34">
        <v>132.303</v>
      </c>
      <c r="I13" s="9">
        <f t="shared" si="0"/>
        <v>53.6</v>
      </c>
    </row>
    <row r="14" spans="1:10" ht="15.75">
      <c r="A14" s="7" t="s">
        <v>20</v>
      </c>
      <c r="B14" s="217" t="s">
        <v>21</v>
      </c>
      <c r="C14" s="89" t="s">
        <v>11</v>
      </c>
      <c r="D14" s="241">
        <f>D16+D17+D18</f>
        <v>2115.5</v>
      </c>
      <c r="E14" s="241">
        <f>E16+E17+E18</f>
        <v>2266.4380000000001</v>
      </c>
      <c r="F14" s="241">
        <f>ROUND(E14/D14*100,1)</f>
        <v>107.1</v>
      </c>
      <c r="G14" s="241">
        <f>E14-D14</f>
        <v>150.9380000000001</v>
      </c>
      <c r="H14" s="6">
        <f>H16+H17+H18</f>
        <v>2431.3069999999998</v>
      </c>
      <c r="I14" s="9">
        <f t="shared" si="0"/>
        <v>93.2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1798.5</v>
      </c>
      <c r="E16" s="34">
        <v>1897.421</v>
      </c>
      <c r="F16" s="34">
        <f>ROUND(E16/D16*100,1)</f>
        <v>105.5</v>
      </c>
      <c r="G16" s="34">
        <f>E16-D16</f>
        <v>98.921000000000049</v>
      </c>
      <c r="H16" s="34">
        <v>2111.2179999999998</v>
      </c>
      <c r="I16" s="9">
        <f t="shared" si="0"/>
        <v>89.9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27</v>
      </c>
      <c r="E17" s="34">
        <v>29.045000000000002</v>
      </c>
      <c r="F17" s="34">
        <f>ROUND(E17/D17*100,1)</f>
        <v>107.6</v>
      </c>
      <c r="G17" s="34">
        <f>E17-D17</f>
        <v>2.0450000000000017</v>
      </c>
      <c r="H17" s="34">
        <v>31.183</v>
      </c>
      <c r="I17" s="9">
        <f t="shared" si="0"/>
        <v>93.1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v>290</v>
      </c>
      <c r="E18" s="34">
        <v>339.97199999999998</v>
      </c>
      <c r="F18" s="34">
        <f>ROUND(E18/D18*100,1)</f>
        <v>117.2</v>
      </c>
      <c r="G18" s="34">
        <f>E18-D18</f>
        <v>49.97199999999998</v>
      </c>
      <c r="H18" s="18">
        <v>288.90600000000001</v>
      </c>
      <c r="I18" s="9">
        <f t="shared" si="0"/>
        <v>117.7</v>
      </c>
    </row>
    <row r="19" spans="1:12" ht="18.75">
      <c r="A19" s="7" t="s">
        <v>23</v>
      </c>
      <c r="B19" s="217" t="s">
        <v>24</v>
      </c>
      <c r="C19" s="89" t="s">
        <v>25</v>
      </c>
      <c r="D19" s="241">
        <f>D21+D22+D23+D24</f>
        <v>10893.2</v>
      </c>
      <c r="E19" s="241">
        <f>E21+E22+E23+E24</f>
        <v>11108.062</v>
      </c>
      <c r="F19" s="241">
        <f>ROUND(E19/D19*100,1)</f>
        <v>102</v>
      </c>
      <c r="G19" s="241">
        <f>E19-D19</f>
        <v>214.86199999999917</v>
      </c>
      <c r="H19" s="6">
        <f>H21+H22+H23+H24</f>
        <v>8341.6949999999997</v>
      </c>
      <c r="I19" s="9">
        <f t="shared" si="0"/>
        <v>133.19999999999999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3212.4</v>
      </c>
      <c r="E21" s="34">
        <v>3257.279</v>
      </c>
      <c r="F21" s="34">
        <f>ROUND(E21/D21*100,1)</f>
        <v>101.4</v>
      </c>
      <c r="G21" s="34">
        <f t="shared" ref="G21:G31" si="1">E21-D21</f>
        <v>44.878999999999905</v>
      </c>
      <c r="H21" s="34">
        <v>3058.88</v>
      </c>
      <c r="I21" s="9">
        <f t="shared" si="0"/>
        <v>106.5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7680.8</v>
      </c>
      <c r="E22" s="34">
        <v>7850.7830000000004</v>
      </c>
      <c r="F22" s="34">
        <f>ROUND(E22/D22*100,1)</f>
        <v>102.2</v>
      </c>
      <c r="G22" s="34">
        <f t="shared" si="1"/>
        <v>169.98300000000017</v>
      </c>
      <c r="H22" s="34">
        <v>5282.8149999999996</v>
      </c>
      <c r="I22" s="9">
        <f t="shared" si="0"/>
        <v>148.6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/>
      <c r="E24" s="195"/>
      <c r="F24" s="195">
        <v>0</v>
      </c>
      <c r="G24" s="195">
        <v>0</v>
      </c>
      <c r="H24" s="195"/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1202</v>
      </c>
      <c r="E25" s="18">
        <v>1174</v>
      </c>
      <c r="F25" s="18">
        <f t="shared" ref="F25:F29" si="2">ROUND(E25/D25*100,1)</f>
        <v>97.7</v>
      </c>
      <c r="G25" s="18">
        <f t="shared" si="1"/>
        <v>-28</v>
      </c>
      <c r="H25" s="18">
        <v>700</v>
      </c>
      <c r="I25" s="9">
        <f t="shared" si="0"/>
        <v>167.7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513428.54499999998</v>
      </c>
      <c r="E26" s="18">
        <v>518255.78200000001</v>
      </c>
      <c r="F26" s="18">
        <f t="shared" si="2"/>
        <v>100.9</v>
      </c>
      <c r="G26" s="18">
        <f t="shared" si="1"/>
        <v>4827.2370000000228</v>
      </c>
      <c r="H26" s="18">
        <v>527907.571</v>
      </c>
      <c r="I26" s="18">
        <f t="shared" si="0"/>
        <v>98.2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112.04600000000001</v>
      </c>
      <c r="E27" s="242">
        <f>968/1000</f>
        <v>0.96799999999999997</v>
      </c>
      <c r="F27" s="18">
        <f t="shared" si="2"/>
        <v>0.9</v>
      </c>
      <c r="G27" s="18">
        <f>E27-D27</f>
        <v>-111.078</v>
      </c>
      <c r="H27" s="18">
        <v>0</v>
      </c>
      <c r="I27" s="195">
        <v>0</v>
      </c>
      <c r="J27" t="s">
        <v>22</v>
      </c>
      <c r="K27"/>
    </row>
    <row r="28" spans="1:12" ht="31.5">
      <c r="A28" s="7" t="s">
        <v>39</v>
      </c>
      <c r="B28" s="219" t="s">
        <v>40</v>
      </c>
      <c r="C28" s="18" t="s">
        <v>37</v>
      </c>
      <c r="D28" s="18">
        <v>33150</v>
      </c>
      <c r="E28" s="18">
        <v>34729.504000000001</v>
      </c>
      <c r="F28" s="18">
        <f t="shared" si="2"/>
        <v>104.8</v>
      </c>
      <c r="G28" s="18">
        <f t="shared" si="1"/>
        <v>1579.5040000000008</v>
      </c>
      <c r="H28" s="18">
        <v>31866.316999999999</v>
      </c>
      <c r="I28" s="9">
        <f t="shared" si="0"/>
        <v>109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2519.011</v>
      </c>
      <c r="E29" s="18">
        <v>2655.0610000000001</v>
      </c>
      <c r="F29" s="18">
        <f t="shared" si="2"/>
        <v>105.4</v>
      </c>
      <c r="G29" s="18">
        <f t="shared" si="1"/>
        <v>136.05000000000018</v>
      </c>
      <c r="H29" s="18">
        <v>3274.4</v>
      </c>
      <c r="I29" s="9">
        <f>IF(H29&gt;0,ROUND(E29/H29*100,1),0)</f>
        <v>81.099999999999994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47</v>
      </c>
      <c r="B32" s="219" t="s">
        <v>48</v>
      </c>
      <c r="C32" s="18" t="s">
        <v>37</v>
      </c>
      <c r="D32" s="23"/>
      <c r="E32" s="23"/>
      <c r="F32" s="23"/>
      <c r="G32" s="23"/>
      <c r="H32" s="18"/>
      <c r="I32" s="18">
        <f>IF(H32&gt;0,ROUND(E32/H32*100,1),0)</f>
        <v>0</v>
      </c>
    </row>
    <row r="33" spans="1:10" ht="15.75">
      <c r="A33" s="7" t="s">
        <v>49</v>
      </c>
      <c r="B33" s="217" t="s">
        <v>50</v>
      </c>
      <c r="C33" s="18" t="s">
        <v>37</v>
      </c>
      <c r="D33" s="26">
        <f>D35+D39+D40+D41+D42+D43+D45+D44</f>
        <v>61473.90800000001</v>
      </c>
      <c r="E33" s="26">
        <f>E35+E39+E40+E41+E42+E43+E45+E44</f>
        <v>76124.949000000022</v>
      </c>
      <c r="F33" s="26"/>
      <c r="G33" s="26">
        <f t="shared" ref="G33:G44" si="3">E33-D33</f>
        <v>14651.041000000012</v>
      </c>
      <c r="H33" s="26">
        <f>H35+H39+H40+H41+H42+H43+H45+H44</f>
        <v>-26967</v>
      </c>
      <c r="I33" s="26">
        <f>IF(H33&gt;0,ROUND(E33/H33*100,1),0)</f>
        <v>0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3"/>
        <v>0</v>
      </c>
      <c r="H34" s="28"/>
      <c r="I34" s="28"/>
    </row>
    <row r="35" spans="1:10" ht="15.75">
      <c r="A35" s="34"/>
      <c r="B35" s="223" t="s">
        <v>53</v>
      </c>
      <c r="C35" s="18" t="s">
        <v>37</v>
      </c>
      <c r="D35" s="27">
        <f>D37+D38</f>
        <v>-6978.7669999999925</v>
      </c>
      <c r="E35" s="27">
        <f>E37+E38</f>
        <v>7959.6900000000169</v>
      </c>
      <c r="F35" s="28"/>
      <c r="G35" s="27">
        <f t="shared" si="3"/>
        <v>14938.457000000009</v>
      </c>
      <c r="H35" s="28">
        <f>H37+H38</f>
        <v>-26967</v>
      </c>
      <c r="I35" s="28">
        <f>IF(H35&gt;0,ROUND(E35/H35*100,1),0)</f>
        <v>0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7"/>
      <c r="E36" s="28"/>
      <c r="F36" s="28"/>
      <c r="G36" s="27"/>
      <c r="H36" s="28"/>
      <c r="I36" s="28"/>
    </row>
    <row r="37" spans="1:10" ht="15.75">
      <c r="A37" s="34"/>
      <c r="B37" s="224" t="s">
        <v>55</v>
      </c>
      <c r="C37" s="18" t="s">
        <v>37</v>
      </c>
      <c r="D37" s="27"/>
      <c r="E37" s="28">
        <f>E92</f>
        <v>7959.6900000000169</v>
      </c>
      <c r="F37" s="28"/>
      <c r="G37" s="27"/>
      <c r="H37" s="28"/>
      <c r="I37" s="28"/>
    </row>
    <row r="38" spans="1:10" ht="15.75">
      <c r="A38" s="34"/>
      <c r="B38" s="224" t="s">
        <v>56</v>
      </c>
      <c r="C38" s="18" t="s">
        <v>37</v>
      </c>
      <c r="D38" s="27">
        <f>D96</f>
        <v>-6978.7669999999925</v>
      </c>
      <c r="E38" s="28">
        <v>0</v>
      </c>
      <c r="F38" s="28"/>
      <c r="G38" s="27">
        <f t="shared" si="3"/>
        <v>6978.7669999999925</v>
      </c>
      <c r="H38" s="28">
        <v>-26967</v>
      </c>
      <c r="I38" s="28"/>
    </row>
    <row r="39" spans="1:10" ht="15.75">
      <c r="A39" s="34"/>
      <c r="B39" s="223" t="s">
        <v>57</v>
      </c>
      <c r="C39" s="18" t="s">
        <v>37</v>
      </c>
      <c r="D39" s="27">
        <f>D129</f>
        <v>68452.675000000003</v>
      </c>
      <c r="E39" s="27">
        <f>E129</f>
        <v>68165.259000000005</v>
      </c>
      <c r="F39" s="28">
        <f t="shared" ref="F39" si="4">ROUND(E39/D39*100,1)</f>
        <v>99.6</v>
      </c>
      <c r="G39" s="27">
        <f t="shared" si="3"/>
        <v>-287.41599999999744</v>
      </c>
      <c r="H39" s="28"/>
      <c r="I39" s="28">
        <f>IF(H39&gt;0,ROUND(E39/H39*100,1),0)</f>
        <v>0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3"/>
        <v>0</v>
      </c>
      <c r="H40" s="28"/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3"/>
        <v>0</v>
      </c>
      <c r="H41" s="28"/>
      <c r="I41" s="28">
        <f>IF(H41&gt;0,ROUND(E41/H41*100,1),0)</f>
        <v>0</v>
      </c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3"/>
        <v>0</v>
      </c>
      <c r="H42" s="18"/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3"/>
        <v>0</v>
      </c>
      <c r="H43" s="18"/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3"/>
        <v>0</v>
      </c>
      <c r="H44" s="18">
        <v>0</v>
      </c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18"/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67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76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84</v>
      </c>
      <c r="B59" s="220" t="s">
        <v>85</v>
      </c>
      <c r="C59" s="18" t="s">
        <v>86</v>
      </c>
      <c r="D59" s="28">
        <v>6056</v>
      </c>
      <c r="E59" s="28">
        <v>5582</v>
      </c>
      <c r="F59" s="28">
        <f>ROUND(E59/D59*100,1)</f>
        <v>92.2</v>
      </c>
      <c r="G59" s="28">
        <f>E59-D59</f>
        <v>-474</v>
      </c>
      <c r="H59" s="28">
        <v>5711</v>
      </c>
      <c r="I59" s="28">
        <f t="shared" ref="I59:I64" si="5">IF(H59&gt;0,ROUND(E59/H59*100,1),0)</f>
        <v>97.7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5"/>
        <v>0</v>
      </c>
    </row>
    <row r="61" spans="1:12" ht="15.75" collapsed="1">
      <c r="A61" s="34" t="s">
        <v>91</v>
      </c>
      <c r="B61" s="220" t="s">
        <v>92</v>
      </c>
      <c r="C61" s="18" t="s">
        <v>37</v>
      </c>
      <c r="D61" s="33">
        <v>155571.81700000001</v>
      </c>
      <c r="E61" s="33">
        <v>157164.16200000001</v>
      </c>
      <c r="F61" s="28">
        <f>ROUND(E61/D61*100,1)</f>
        <v>101</v>
      </c>
      <c r="G61" s="28">
        <f>E61-D61</f>
        <v>1592.3450000000012</v>
      </c>
      <c r="H61" s="33">
        <v>156242.87400000001</v>
      </c>
      <c r="I61" s="28">
        <f t="shared" si="5"/>
        <v>100.6</v>
      </c>
      <c r="J61" t="s">
        <v>87</v>
      </c>
    </row>
    <row r="62" spans="1:12" ht="15.75">
      <c r="A62" s="34" t="s">
        <v>93</v>
      </c>
      <c r="B62" s="220" t="s">
        <v>94</v>
      </c>
      <c r="C62" s="18" t="s">
        <v>95</v>
      </c>
      <c r="D62" s="178">
        <f>D61/D59/6</f>
        <v>4.2814788914575077</v>
      </c>
      <c r="E62" s="178">
        <f>E61/E59/6</f>
        <v>4.6925881404514511</v>
      </c>
      <c r="F62" s="28">
        <f>ROUND(E62/D62*100,1)</f>
        <v>109.6</v>
      </c>
      <c r="G62" s="28">
        <f>E62-D62</f>
        <v>0.41110924899394341</v>
      </c>
      <c r="H62" s="178">
        <f>H61/H59/6</f>
        <v>4.5597056557520572</v>
      </c>
      <c r="I62" s="28">
        <f t="shared" si="5"/>
        <v>102.9</v>
      </c>
      <c r="J62" t="s">
        <v>87</v>
      </c>
      <c r="L62">
        <v>563699649</v>
      </c>
    </row>
    <row r="63" spans="1:12" ht="15.75">
      <c r="A63" s="34" t="s">
        <v>96</v>
      </c>
      <c r="B63" s="220" t="s">
        <v>97</v>
      </c>
      <c r="C63" s="18" t="s">
        <v>37</v>
      </c>
      <c r="D63" s="18"/>
      <c r="E63" s="18"/>
      <c r="F63" s="28"/>
      <c r="G63" s="18"/>
      <c r="H63" s="18">
        <v>1006224</v>
      </c>
      <c r="I63" s="18">
        <f t="shared" si="5"/>
        <v>0</v>
      </c>
      <c r="J63" t="s">
        <v>58</v>
      </c>
      <c r="L63">
        <v>461145397.5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58"/>
      <c r="I64" s="59">
        <f t="shared" si="5"/>
        <v>0</v>
      </c>
      <c r="J64" s="31"/>
    </row>
    <row r="65" spans="1:13" ht="15.75" collapsed="1">
      <c r="A65" s="34" t="s">
        <v>100</v>
      </c>
      <c r="B65" s="220" t="s">
        <v>101</v>
      </c>
      <c r="C65" s="18" t="s">
        <v>102</v>
      </c>
      <c r="D65" s="60">
        <v>223860.56</v>
      </c>
      <c r="E65" s="28"/>
      <c r="F65" s="28">
        <f>ROUND(E65/D65*100,1)</f>
        <v>0</v>
      </c>
      <c r="G65" s="28">
        <f>E65-D65</f>
        <v>-223860.56</v>
      </c>
      <c r="H65" s="28">
        <v>131998.67000000001</v>
      </c>
      <c r="I65" s="28">
        <f>ROUND(E65/H65*100,1)</f>
        <v>0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107</v>
      </c>
      <c r="B70" s="220" t="s">
        <v>108</v>
      </c>
      <c r="C70" s="18" t="s">
        <v>37</v>
      </c>
      <c r="D70" s="28">
        <f>563699.649-85465.8</f>
        <v>478233.84899999999</v>
      </c>
      <c r="E70" s="18">
        <v>483478.48</v>
      </c>
      <c r="F70" s="18">
        <f t="shared" ref="F70:F96" si="6">ROUND(E70/D70*100,1)</f>
        <v>101.1</v>
      </c>
      <c r="G70" s="18">
        <f>E70-D70</f>
        <v>5244.6309999999939</v>
      </c>
      <c r="H70" s="18">
        <v>433264.6</v>
      </c>
      <c r="I70" s="18">
        <f t="shared" ref="I70:I85" si="7">ROUND(E70/H70*100,1)</f>
        <v>111.6</v>
      </c>
      <c r="J70" t="s">
        <v>103</v>
      </c>
      <c r="M70">
        <f>1759313-152984-76292-1017231</f>
        <v>512806</v>
      </c>
    </row>
    <row r="71" spans="1:13" ht="15.75">
      <c r="A71" s="34" t="s">
        <v>109</v>
      </c>
      <c r="B71" s="220" t="s">
        <v>110</v>
      </c>
      <c r="C71" s="18" t="s">
        <v>37</v>
      </c>
      <c r="D71" s="28">
        <f>461145.398-75183.086</f>
        <v>385962.31199999998</v>
      </c>
      <c r="E71" s="18">
        <v>287150.70299999998</v>
      </c>
      <c r="F71" s="18">
        <f t="shared" si="6"/>
        <v>74.400000000000006</v>
      </c>
      <c r="G71" s="18">
        <f>E71-D71</f>
        <v>-98811.608999999997</v>
      </c>
      <c r="H71" s="18">
        <v>293570.2</v>
      </c>
      <c r="I71" s="18">
        <f t="shared" si="7"/>
        <v>97.8</v>
      </c>
      <c r="J71" t="s">
        <v>103</v>
      </c>
    </row>
    <row r="72" spans="1:13" ht="15.75">
      <c r="A72" s="34" t="s">
        <v>111</v>
      </c>
      <c r="B72" s="220" t="s">
        <v>112</v>
      </c>
      <c r="C72" s="18" t="s">
        <v>37</v>
      </c>
      <c r="D72" s="33">
        <f>D70-D71</f>
        <v>92271.537000000011</v>
      </c>
      <c r="E72" s="33">
        <f>E70-E71</f>
        <v>196327.777</v>
      </c>
      <c r="F72" s="34">
        <f t="shared" si="6"/>
        <v>212.8</v>
      </c>
      <c r="G72" s="18">
        <f>E72-D72</f>
        <v>104056.23999999999</v>
      </c>
      <c r="H72" s="34">
        <f>H70-H71</f>
        <v>139694.39999999997</v>
      </c>
      <c r="I72" s="34">
        <f t="shared" si="7"/>
        <v>140.5</v>
      </c>
      <c r="J72" t="s">
        <v>103</v>
      </c>
      <c r="M72" s="11">
        <f>D72-D73</f>
        <v>8021.2330000000075</v>
      </c>
    </row>
    <row r="73" spans="1:13" ht="15.75">
      <c r="A73" s="34"/>
      <c r="B73" s="227" t="s">
        <v>113</v>
      </c>
      <c r="C73" s="18" t="s">
        <v>37</v>
      </c>
      <c r="D73" s="26">
        <f>D74+D75+D76</f>
        <v>84250.304000000004</v>
      </c>
      <c r="E73" s="6">
        <f>E74+E75+E76</f>
        <v>109113.98699999999</v>
      </c>
      <c r="F73" s="6">
        <f t="shared" si="6"/>
        <v>129.5</v>
      </c>
      <c r="G73" s="6">
        <f t="shared" ref="G73:G96" si="8">E73-D73</f>
        <v>24863.68299999999</v>
      </c>
      <c r="H73" s="26">
        <f>H74+H75+H76</f>
        <v>118737.1</v>
      </c>
      <c r="I73" s="6">
        <f t="shared" si="7"/>
        <v>91.9</v>
      </c>
      <c r="J73" t="s">
        <v>103</v>
      </c>
      <c r="M73" s="11">
        <f>M72+D77</f>
        <v>8021.2330000000075</v>
      </c>
    </row>
    <row r="74" spans="1:13" ht="15.75">
      <c r="A74" s="34"/>
      <c r="B74" s="228" t="s">
        <v>114</v>
      </c>
      <c r="C74" s="18" t="s">
        <v>37</v>
      </c>
      <c r="D74" s="28">
        <v>3221.384</v>
      </c>
      <c r="E74" s="34">
        <v>6083.9790000000003</v>
      </c>
      <c r="F74" s="34">
        <f t="shared" si="6"/>
        <v>188.9</v>
      </c>
      <c r="G74" s="18">
        <f t="shared" si="8"/>
        <v>2862.5950000000003</v>
      </c>
      <c r="H74" s="34">
        <v>4593.7</v>
      </c>
      <c r="I74" s="34">
        <f t="shared" si="7"/>
        <v>132.4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31472.391</v>
      </c>
      <c r="E75" s="18">
        <v>30380.923999999999</v>
      </c>
      <c r="F75" s="18">
        <f t="shared" si="6"/>
        <v>96.5</v>
      </c>
      <c r="G75" s="18">
        <f t="shared" si="8"/>
        <v>-1091.4670000000006</v>
      </c>
      <c r="H75" s="18">
        <v>26714.400000000001</v>
      </c>
      <c r="I75" s="18">
        <f t="shared" si="7"/>
        <v>113.7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f>52408.872-2852.343</f>
        <v>49556.529000000002</v>
      </c>
      <c r="E76" s="18">
        <v>72649.084000000003</v>
      </c>
      <c r="F76" s="18">
        <f t="shared" si="6"/>
        <v>146.6</v>
      </c>
      <c r="G76" s="18">
        <f t="shared" si="8"/>
        <v>23092.555</v>
      </c>
      <c r="H76" s="18">
        <v>87429</v>
      </c>
      <c r="I76" s="18">
        <f t="shared" si="7"/>
        <v>83.1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/>
      <c r="E77" s="18">
        <f>7192.227+7449.256</f>
        <v>14641.483</v>
      </c>
      <c r="F77" s="18"/>
      <c r="G77" s="18">
        <f t="shared" si="8"/>
        <v>14641.483</v>
      </c>
      <c r="H77" s="18">
        <v>8594.5</v>
      </c>
      <c r="I77" s="18">
        <f t="shared" si="7"/>
        <v>170.4</v>
      </c>
      <c r="J77" t="s">
        <v>103</v>
      </c>
    </row>
    <row r="78" spans="1:13" ht="15.75">
      <c r="A78" s="34"/>
      <c r="B78" s="220" t="s">
        <v>118</v>
      </c>
      <c r="C78" s="18" t="s">
        <v>37</v>
      </c>
      <c r="D78" s="28">
        <v>15000</v>
      </c>
      <c r="E78" s="18">
        <v>93895.582999999999</v>
      </c>
      <c r="F78" s="18">
        <f t="shared" si="6"/>
        <v>626</v>
      </c>
      <c r="G78" s="18">
        <f t="shared" si="8"/>
        <v>78895.582999999999</v>
      </c>
      <c r="H78" s="18">
        <v>56518.8</v>
      </c>
      <c r="I78" s="18">
        <f t="shared" si="7"/>
        <v>166.1</v>
      </c>
      <c r="J78" t="s">
        <v>103</v>
      </c>
    </row>
    <row r="79" spans="1:13" ht="15.75" hidden="1" outlineLevel="1">
      <c r="A79" s="34"/>
      <c r="B79" s="220" t="s">
        <v>119</v>
      </c>
      <c r="C79" s="18" t="s">
        <v>37</v>
      </c>
      <c r="D79" s="33"/>
      <c r="E79" s="34"/>
      <c r="F79" s="18" t="e">
        <f t="shared" si="6"/>
        <v>#DIV/0!</v>
      </c>
      <c r="G79" s="18">
        <f t="shared" si="8"/>
        <v>0</v>
      </c>
      <c r="H79" s="58"/>
      <c r="I79" s="18" t="e">
        <f t="shared" si="7"/>
        <v>#DIV/0!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6"/>
        <v>#DIV/0!</v>
      </c>
      <c r="G80" s="18">
        <f t="shared" si="8"/>
        <v>0</v>
      </c>
      <c r="H80" s="58"/>
      <c r="I80" s="18" t="e">
        <f t="shared" si="7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6"/>
        <v>#DIV/0!</v>
      </c>
      <c r="G81" s="18">
        <f t="shared" si="8"/>
        <v>0</v>
      </c>
      <c r="H81" s="58"/>
      <c r="I81" s="18" t="e">
        <f t="shared" si="7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6"/>
        <v>#DIV/0!</v>
      </c>
      <c r="G82" s="18">
        <f t="shared" si="8"/>
        <v>0</v>
      </c>
      <c r="H82" s="58"/>
      <c r="I82" s="18" t="e">
        <f t="shared" si="7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6"/>
        <v>#DIV/0!</v>
      </c>
      <c r="G83" s="18">
        <f t="shared" si="8"/>
        <v>0</v>
      </c>
      <c r="H83" s="58"/>
      <c r="I83" s="18" t="e">
        <f t="shared" si="7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6"/>
        <v>#DIV/0!</v>
      </c>
      <c r="G84" s="18">
        <f t="shared" si="8"/>
        <v>0</v>
      </c>
      <c r="H84" s="58"/>
      <c r="I84" s="18" t="e">
        <f t="shared" si="7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6"/>
        <v>#DIV/0!</v>
      </c>
      <c r="G85" s="18">
        <f t="shared" si="8"/>
        <v>0</v>
      </c>
      <c r="H85" s="58"/>
      <c r="I85" s="18" t="e">
        <f t="shared" si="7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6"/>
        <v>#DIV/0!</v>
      </c>
      <c r="G86" s="18">
        <f t="shared" si="8"/>
        <v>0</v>
      </c>
      <c r="H86" s="58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6"/>
        <v>#DIV/0!</v>
      </c>
      <c r="G87" s="18">
        <f t="shared" si="8"/>
        <v>0</v>
      </c>
      <c r="H87" s="58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6"/>
        <v>#DIV/0!</v>
      </c>
      <c r="G88" s="18">
        <f t="shared" si="8"/>
        <v>0</v>
      </c>
      <c r="H88" s="58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D72-D73+D77-D78</f>
        <v>-6978.7669999999925</v>
      </c>
      <c r="E89" s="6">
        <f>E72-E73+E77-E78</f>
        <v>7959.6900000000169</v>
      </c>
      <c r="F89" s="6">
        <f t="shared" si="6"/>
        <v>-114.1</v>
      </c>
      <c r="G89" s="6">
        <f t="shared" si="8"/>
        <v>14938.457000000009</v>
      </c>
      <c r="H89" s="62">
        <f>H72-H73+H77-H78</f>
        <v>-26967.000000000044</v>
      </c>
      <c r="I89" s="6">
        <f t="shared" ref="I89:I96" si="9">ROUND(E89/H89*100,1)</f>
        <v>-29.5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 t="s">
        <v>73</v>
      </c>
      <c r="E90" s="195">
        <v>0</v>
      </c>
      <c r="F90" s="195">
        <v>0</v>
      </c>
      <c r="G90" s="195">
        <v>0</v>
      </c>
      <c r="H90" s="195">
        <v>0</v>
      </c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8"/>
        <v>-15.822778173897415</v>
      </c>
      <c r="H91" s="34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-6978.7669999999925</v>
      </c>
      <c r="E92" s="34">
        <f>E89</f>
        <v>7959.6900000000169</v>
      </c>
      <c r="F92" s="18">
        <f t="shared" si="6"/>
        <v>-114.1</v>
      </c>
      <c r="G92" s="18">
        <f t="shared" si="8"/>
        <v>14938.457000000009</v>
      </c>
      <c r="H92" s="34">
        <f>H89</f>
        <v>-26967.000000000044</v>
      </c>
      <c r="I92" s="18">
        <f t="shared" si="9"/>
        <v>-29.5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v>0</v>
      </c>
      <c r="E93" s="195">
        <v>1967.481</v>
      </c>
      <c r="F93" s="195">
        <v>0</v>
      </c>
      <c r="G93" s="195">
        <v>0</v>
      </c>
      <c r="H93" s="195">
        <v>0</v>
      </c>
      <c r="I93" s="195">
        <v>0</v>
      </c>
      <c r="J93" t="s">
        <v>103</v>
      </c>
    </row>
    <row r="94" spans="1:10" ht="15.75" hidden="1" outlineLevel="1">
      <c r="A94" s="34"/>
      <c r="B94" s="220" t="s">
        <v>130</v>
      </c>
      <c r="C94" s="18" t="s">
        <v>37</v>
      </c>
      <c r="D94" s="33"/>
      <c r="E94" s="34"/>
      <c r="F94" s="18" t="e">
        <f t="shared" si="6"/>
        <v>#DIV/0!</v>
      </c>
      <c r="G94" s="18">
        <f t="shared" si="8"/>
        <v>0</v>
      </c>
      <c r="H94" s="34"/>
      <c r="I94" s="18" t="e">
        <f t="shared" si="9"/>
        <v>#DIV/0!</v>
      </c>
      <c r="J94" t="s">
        <v>103</v>
      </c>
    </row>
    <row r="95" spans="1:10" ht="15.75" hidden="1" outlineLevel="2">
      <c r="A95" s="34"/>
      <c r="B95" s="220" t="s">
        <v>131</v>
      </c>
      <c r="C95" s="18" t="s">
        <v>37</v>
      </c>
      <c r="D95" s="33"/>
      <c r="E95" s="34"/>
      <c r="F95" s="18" t="e">
        <f t="shared" si="6"/>
        <v>#DIV/0!</v>
      </c>
      <c r="G95" s="18">
        <f t="shared" si="8"/>
        <v>0</v>
      </c>
      <c r="H95" s="34"/>
      <c r="I95" s="18" t="e">
        <f t="shared" si="9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-6978.7669999999925</v>
      </c>
      <c r="E96" s="34">
        <f>E92-E93</f>
        <v>5992.2090000000171</v>
      </c>
      <c r="F96" s="18">
        <f t="shared" si="6"/>
        <v>-85.9</v>
      </c>
      <c r="G96" s="18">
        <f t="shared" si="8"/>
        <v>12970.97600000001</v>
      </c>
      <c r="H96" s="34">
        <f>H92</f>
        <v>-26967.000000000044</v>
      </c>
      <c r="I96" s="18">
        <f t="shared" si="9"/>
        <v>-22.2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34" t="s">
        <v>136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57388.061879999994</v>
      </c>
      <c r="E102" s="6">
        <f>E103+E106</f>
        <v>41094.678</v>
      </c>
      <c r="F102" s="6"/>
      <c r="G102" s="6">
        <f>E102-D102</f>
        <v>-16293.383879999994</v>
      </c>
      <c r="H102" s="6">
        <f>H103+H106</f>
        <v>49333.7</v>
      </c>
      <c r="I102" s="6">
        <f>ROUND(E102/H102*100,1)</f>
        <v>83.3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0</v>
      </c>
      <c r="E103" s="195">
        <f>E93</f>
        <v>1967.481</v>
      </c>
      <c r="F103" s="195">
        <v>0</v>
      </c>
      <c r="G103" s="195">
        <v>0</v>
      </c>
      <c r="H103" s="195">
        <v>0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0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>
        <f>D70*12%</f>
        <v>57388.061879999994</v>
      </c>
      <c r="E106" s="18">
        <v>39127.197</v>
      </c>
      <c r="F106" s="18">
        <v>0</v>
      </c>
      <c r="G106" s="34">
        <f t="shared" si="10"/>
        <v>-18260.864879999994</v>
      </c>
      <c r="H106" s="18">
        <v>49333.7</v>
      </c>
      <c r="I106" s="18">
        <f>ROUND(E106/H106*100,1)</f>
        <v>79.3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29589.102999999999</v>
      </c>
      <c r="E107" s="6">
        <f>SUM(E108:E112)</f>
        <v>29693.617999999999</v>
      </c>
      <c r="F107" s="6">
        <f>ROUND(E107/D107*100,1)</f>
        <v>100.4</v>
      </c>
      <c r="G107" s="6">
        <f t="shared" si="10"/>
        <v>104.51499999999942</v>
      </c>
      <c r="H107" s="6">
        <f>SUM(H108:H112)</f>
        <v>24398.7</v>
      </c>
      <c r="I107" s="6">
        <f>IF(H107&gt;0,ROUND(E107/H107*100,1),0)</f>
        <v>121.7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/>
      <c r="F108" s="6"/>
      <c r="G108" s="18">
        <f t="shared" si="10"/>
        <v>0</v>
      </c>
      <c r="H108" s="18">
        <v>0</v>
      </c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1510.616</v>
      </c>
      <c r="E109" s="34">
        <v>980.02800000000002</v>
      </c>
      <c r="F109" s="18">
        <f>ROUND(E109/D109*100,1)</f>
        <v>64.900000000000006</v>
      </c>
      <c r="G109" s="18">
        <f t="shared" si="10"/>
        <v>-530.58799999999997</v>
      </c>
      <c r="H109" s="34">
        <v>972.6</v>
      </c>
      <c r="I109" s="34">
        <f>ROUND(E109/H109*100,1)</f>
        <v>100.8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504.67200000000003</v>
      </c>
      <c r="E110" s="34">
        <v>540.4</v>
      </c>
      <c r="F110" s="18">
        <f>ROUND(E110/D110*100,1)</f>
        <v>107.1</v>
      </c>
      <c r="G110" s="18">
        <f t="shared" si="10"/>
        <v>35.727999999999952</v>
      </c>
      <c r="H110" s="34">
        <v>436.7</v>
      </c>
      <c r="I110" s="34">
        <f>ROUND(E110/H110*100,1)</f>
        <v>123.7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7788.69</v>
      </c>
      <c r="E111" s="34">
        <v>7788.69</v>
      </c>
      <c r="F111" s="18">
        <f>ROUND(E111/D111*100,1)</f>
        <v>100</v>
      </c>
      <c r="G111" s="18">
        <f t="shared" si="10"/>
        <v>0</v>
      </c>
      <c r="H111" s="34">
        <v>5215.6000000000004</v>
      </c>
      <c r="I111" s="34">
        <f>ROUND(E111/H111*100,1)</f>
        <v>149.30000000000001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19785.125</v>
      </c>
      <c r="E112" s="34">
        <v>20384.5</v>
      </c>
      <c r="F112" s="18">
        <f>ROUND(E112/D112*100,1)</f>
        <v>103</v>
      </c>
      <c r="G112" s="18">
        <f t="shared" si="10"/>
        <v>599.375</v>
      </c>
      <c r="H112" s="34">
        <v>17773.8</v>
      </c>
      <c r="I112" s="34">
        <f>ROUND(E112/H112*100,1)</f>
        <v>114.7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33497.463400000001</v>
      </c>
      <c r="E113" s="6">
        <f>SUM(E115:E120)</f>
        <v>20378.509000000002</v>
      </c>
      <c r="F113" s="6">
        <f>ROUND(E113/D113*100,1)</f>
        <v>60.8</v>
      </c>
      <c r="G113" s="6">
        <f t="shared" si="10"/>
        <v>-13118.954399999999</v>
      </c>
      <c r="H113" s="6">
        <f>SUM(H115:H120)</f>
        <v>20522.7</v>
      </c>
      <c r="I113" s="6">
        <f>ROUND(E113/H113*100,1)</f>
        <v>99.3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1" si="11">E115-D115</f>
        <v>0</v>
      </c>
      <c r="H115" s="18"/>
      <c r="I115" s="18" t="e">
        <f t="shared" ref="I115:I121" si="12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1"/>
        <v>0</v>
      </c>
      <c r="H116" s="18"/>
      <c r="I116" s="18" t="e">
        <f t="shared" si="12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f>D61*12%</f>
        <v>18668.618040000001</v>
      </c>
      <c r="E117" s="18">
        <v>19897.109</v>
      </c>
      <c r="F117" s="18">
        <f>ROUND(E117/D117*100,1)</f>
        <v>106.6</v>
      </c>
      <c r="G117" s="18">
        <f t="shared" si="11"/>
        <v>1228.4909599999992</v>
      </c>
      <c r="H117" s="18">
        <v>17418.900000000001</v>
      </c>
      <c r="I117" s="18">
        <f t="shared" si="12"/>
        <v>114.2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2383.1</v>
      </c>
      <c r="E118" s="35">
        <v>481.4</v>
      </c>
      <c r="F118" s="18">
        <f>ROUND(E118/D118*100,1)</f>
        <v>20.2</v>
      </c>
      <c r="G118" s="35">
        <f t="shared" si="11"/>
        <v>-1901.6999999999998</v>
      </c>
      <c r="H118" s="35">
        <v>3103.8</v>
      </c>
      <c r="I118" s="18">
        <f t="shared" si="12"/>
        <v>15.5</v>
      </c>
      <c r="J118" s="11" t="s">
        <v>139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1"/>
        <v>0</v>
      </c>
      <c r="H119" s="18"/>
      <c r="I119" s="18" t="e">
        <f t="shared" si="12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12445.745360000001</v>
      </c>
      <c r="E120" s="18"/>
      <c r="F120" s="18">
        <f>ROUND(E120/D120*100,1)</f>
        <v>0</v>
      </c>
      <c r="G120" s="18">
        <f t="shared" si="11"/>
        <v>-12445.745360000001</v>
      </c>
      <c r="H120" s="18"/>
      <c r="I120" s="18" t="e">
        <f t="shared" si="12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120474.62828</v>
      </c>
      <c r="E121" s="6">
        <f>E102+E113+E107</f>
        <v>91166.805000000008</v>
      </c>
      <c r="F121" s="6">
        <f>ROUND(E121/D121*100,1)</f>
        <v>75.7</v>
      </c>
      <c r="G121" s="6">
        <f t="shared" si="11"/>
        <v>-29307.823279999997</v>
      </c>
      <c r="H121" s="6">
        <f>H102+H113+H107</f>
        <v>94255.099999999991</v>
      </c>
      <c r="I121" s="6">
        <f t="shared" si="12"/>
        <v>96.7</v>
      </c>
      <c r="J121" s="11" t="s">
        <v>139</v>
      </c>
    </row>
    <row r="122" spans="1:13" ht="15.75">
      <c r="A122" s="34" t="s">
        <v>157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 collapsed="1">
      <c r="A125" s="34" t="s">
        <v>161</v>
      </c>
      <c r="B125" s="227" t="s">
        <v>162</v>
      </c>
      <c r="C125" s="18" t="s">
        <v>37</v>
      </c>
      <c r="D125" s="6">
        <f>SUM(D127:D130)</f>
        <v>526186.99199999997</v>
      </c>
      <c r="E125" s="6">
        <f>SUM(E127:E130)</f>
        <v>382913.79200000002</v>
      </c>
      <c r="F125" s="6">
        <f t="shared" ref="F125:F130" si="13">ROUND(E125/D125*100,1)</f>
        <v>72.8</v>
      </c>
      <c r="G125" s="6">
        <f t="shared" ref="G125:G151" si="14">E125-D125</f>
        <v>-143273.19999999995</v>
      </c>
      <c r="H125" s="6">
        <f>SUM(H127:H130)</f>
        <v>325754.3</v>
      </c>
      <c r="I125" s="6">
        <f>ROUND(E125/H125*100,1)</f>
        <v>117.5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4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313866.973</v>
      </c>
      <c r="E127" s="18">
        <v>175679.27799999999</v>
      </c>
      <c r="F127" s="18">
        <f t="shared" si="13"/>
        <v>56</v>
      </c>
      <c r="G127" s="18">
        <f t="shared" si="14"/>
        <v>-138187.69500000001</v>
      </c>
      <c r="H127" s="18">
        <v>137194.4</v>
      </c>
      <c r="I127" s="18">
        <f>ROUND(E127/H127*100,1)</f>
        <v>128.1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v>129268.68799999999</v>
      </c>
      <c r="E128" s="18">
        <f>109992.317+13195.151</f>
        <v>123187.46799999999</v>
      </c>
      <c r="F128" s="18">
        <f t="shared" si="13"/>
        <v>95.3</v>
      </c>
      <c r="G128" s="18">
        <f t="shared" si="14"/>
        <v>-6081.2200000000012</v>
      </c>
      <c r="H128" s="18">
        <v>106131.8</v>
      </c>
      <c r="I128" s="18">
        <f>ROUND(E128/H128*100,1)</f>
        <v>116.1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68452.675000000003</v>
      </c>
      <c r="E129" s="18">
        <v>68165.259000000005</v>
      </c>
      <c r="F129" s="18">
        <f t="shared" si="13"/>
        <v>99.6</v>
      </c>
      <c r="G129" s="18">
        <f t="shared" si="14"/>
        <v>-287.41599999999744</v>
      </c>
      <c r="H129" s="18">
        <v>68487</v>
      </c>
      <c r="I129" s="18">
        <f>ROUND(E129/H129*100,1)</f>
        <v>99.5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14598.656000000001</v>
      </c>
      <c r="E130" s="18">
        <v>15881.787</v>
      </c>
      <c r="F130" s="18">
        <f t="shared" si="13"/>
        <v>108.8</v>
      </c>
      <c r="G130" s="18">
        <f t="shared" si="14"/>
        <v>1283.1309999999994</v>
      </c>
      <c r="H130" s="18">
        <v>13941.1</v>
      </c>
      <c r="I130" s="18">
        <f>ROUND(E130/H130*100,1)</f>
        <v>113.9</v>
      </c>
      <c r="J130" s="11" t="s">
        <v>139</v>
      </c>
    </row>
    <row r="131" spans="1:13" ht="23.25" customHeight="1">
      <c r="A131" s="18" t="s">
        <v>168</v>
      </c>
      <c r="B131" s="236" t="s">
        <v>169</v>
      </c>
      <c r="C131" s="18" t="s">
        <v>37</v>
      </c>
      <c r="D131" s="18"/>
      <c r="E131" s="6">
        <v>2369719.75</v>
      </c>
      <c r="F131" s="6"/>
      <c r="G131" s="6">
        <f>E131-D131</f>
        <v>2369719.75</v>
      </c>
      <c r="H131" s="6">
        <v>2474980</v>
      </c>
      <c r="I131" s="6">
        <f>IF(H131&gt;0,ROUND(E131/H131*100,1),0)</f>
        <v>95.7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4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34">
        <v>1609028.9129999999</v>
      </c>
      <c r="F133" s="34"/>
      <c r="G133" s="34">
        <f t="shared" si="14"/>
        <v>1609028.9129999999</v>
      </c>
      <c r="H133" s="34">
        <v>1771404</v>
      </c>
      <c r="I133" s="34">
        <f>IF(H133&gt;0,ROUND(E133/H133*100,1),0)</f>
        <v>90.8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4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861584.75600000005</v>
      </c>
      <c r="F135" s="18"/>
      <c r="G135" s="18">
        <f t="shared" si="14"/>
        <v>861584.75600000005</v>
      </c>
      <c r="H135" s="18">
        <v>972409</v>
      </c>
      <c r="I135" s="18">
        <f t="shared" ref="I135:I143" si="15">IF(H135&gt;0,ROUND(E135/H135*100,1),0)</f>
        <v>88.6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386.92</v>
      </c>
      <c r="F136" s="18"/>
      <c r="G136" s="18">
        <f t="shared" si="14"/>
        <v>386.92</v>
      </c>
      <c r="H136" s="18">
        <v>693.83500000000004</v>
      </c>
      <c r="I136" s="18">
        <f t="shared" si="15"/>
        <v>55.8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v>760690.83700000006</v>
      </c>
      <c r="F137" s="18"/>
      <c r="G137" s="18">
        <f t="shared" si="14"/>
        <v>760690.83700000006</v>
      </c>
      <c r="H137" s="18">
        <v>703275</v>
      </c>
      <c r="I137" s="18">
        <f t="shared" si="15"/>
        <v>108.2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4"/>
        <v>0</v>
      </c>
      <c r="H138" s="18"/>
      <c r="I138" s="18">
        <f t="shared" si="15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v>155485.114</v>
      </c>
      <c r="F139" s="18"/>
      <c r="G139" s="81">
        <f t="shared" si="14"/>
        <v>155485.114</v>
      </c>
      <c r="H139" s="81">
        <v>164051</v>
      </c>
      <c r="I139" s="18">
        <f t="shared" si="15"/>
        <v>94.8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4"/>
        <v>0</v>
      </c>
      <c r="H140" s="18"/>
      <c r="I140" s="18">
        <f t="shared" si="15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96118.611999999994</v>
      </c>
      <c r="F141" s="18"/>
      <c r="G141" s="18">
        <f t="shared" si="14"/>
        <v>96118.611999999994</v>
      </c>
      <c r="H141" s="18">
        <v>96334</v>
      </c>
      <c r="I141" s="18">
        <f t="shared" si="15"/>
        <v>99.8</v>
      </c>
      <c r="K141" t="s">
        <v>170</v>
      </c>
      <c r="L141" t="s">
        <v>170</v>
      </c>
      <c r="M141" t="s">
        <v>182</v>
      </c>
    </row>
    <row r="142" spans="1:13" ht="15.75">
      <c r="A142" s="34"/>
      <c r="B142" s="228" t="s">
        <v>183</v>
      </c>
      <c r="C142" s="18" t="s">
        <v>37</v>
      </c>
      <c r="D142" s="18"/>
      <c r="E142" s="18">
        <v>51510.826000000001</v>
      </c>
      <c r="F142" s="18"/>
      <c r="G142" s="18">
        <f t="shared" si="14"/>
        <v>51510.826000000001</v>
      </c>
      <c r="H142" s="18">
        <v>61092</v>
      </c>
      <c r="I142" s="18">
        <f t="shared" si="15"/>
        <v>84.3</v>
      </c>
      <c r="K142" t="s">
        <v>170</v>
      </c>
      <c r="L142" t="s">
        <v>170</v>
      </c>
      <c r="M142" t="s">
        <v>184</v>
      </c>
    </row>
    <row r="143" spans="1:13" ht="15.75">
      <c r="A143" s="34"/>
      <c r="B143" s="237" t="s">
        <v>185</v>
      </c>
      <c r="C143" s="18" t="s">
        <v>37</v>
      </c>
      <c r="D143" s="18"/>
      <c r="E143" s="18">
        <v>365.29</v>
      </c>
      <c r="F143" s="18"/>
      <c r="G143" s="18">
        <f>E143-D143</f>
        <v>365.29</v>
      </c>
      <c r="H143" s="18">
        <v>54.939</v>
      </c>
      <c r="I143" s="18">
        <f t="shared" si="15"/>
        <v>664.9</v>
      </c>
      <c r="K143" t="s">
        <v>170</v>
      </c>
      <c r="L143" t="s">
        <v>170</v>
      </c>
      <c r="M143" t="s">
        <v>186</v>
      </c>
    </row>
    <row r="144" spans="1:13" ht="18" customHeight="1">
      <c r="A144" s="34"/>
      <c r="B144" s="34" t="s">
        <v>163</v>
      </c>
      <c r="C144" s="18" t="s">
        <v>37</v>
      </c>
      <c r="D144" s="18"/>
      <c r="E144" s="18"/>
      <c r="F144" s="18"/>
      <c r="G144" s="18">
        <f t="shared" si="14"/>
        <v>0</v>
      </c>
      <c r="H144" s="18"/>
      <c r="I144" s="18"/>
      <c r="K144" t="s">
        <v>170</v>
      </c>
      <c r="L144" t="s">
        <v>170</v>
      </c>
    </row>
    <row r="145" spans="1:12" ht="15.75">
      <c r="A145" s="34"/>
      <c r="B145" s="224" t="s">
        <v>187</v>
      </c>
      <c r="C145" s="18" t="s">
        <v>37</v>
      </c>
      <c r="D145" s="18"/>
      <c r="E145" s="18"/>
      <c r="F145" s="18"/>
      <c r="G145" s="18">
        <f t="shared" si="14"/>
        <v>0</v>
      </c>
      <c r="H145" s="18"/>
      <c r="I145" s="18">
        <f>IF(H145&gt;0,ROUND(E145/H145*100,1),0)</f>
        <v>0</v>
      </c>
      <c r="K145" t="s">
        <v>170</v>
      </c>
    </row>
    <row r="146" spans="1:12" ht="18.75" hidden="1" customHeight="1" outlineLevel="1">
      <c r="A146" s="34" t="s">
        <v>188</v>
      </c>
      <c r="B146" s="220" t="s">
        <v>189</v>
      </c>
      <c r="C146" s="18" t="s">
        <v>37</v>
      </c>
      <c r="D146" s="18"/>
      <c r="E146" s="18"/>
      <c r="F146" s="18"/>
      <c r="G146" s="18">
        <f>E146-D146</f>
        <v>0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34">
        <v>30</v>
      </c>
      <c r="B147" s="220" t="s">
        <v>190</v>
      </c>
      <c r="C147" s="18" t="s">
        <v>37</v>
      </c>
      <c r="D147" s="18"/>
      <c r="E147" s="18">
        <v>497144.17700000003</v>
      </c>
      <c r="F147" s="18"/>
      <c r="G147" s="18">
        <f>E147-D147</f>
        <v>497144.17700000003</v>
      </c>
      <c r="H147" s="18">
        <v>378734</v>
      </c>
      <c r="I147" s="18">
        <f>ROUND(E147/H147*100,1)</f>
        <v>131.30000000000001</v>
      </c>
      <c r="K147" t="s">
        <v>170</v>
      </c>
      <c r="L147" t="s">
        <v>191</v>
      </c>
    </row>
    <row r="148" spans="1:12" ht="15.75" hidden="1" outlineLevel="1">
      <c r="A148" s="34"/>
      <c r="B148" s="34" t="s">
        <v>12</v>
      </c>
      <c r="C148" s="18" t="s">
        <v>37</v>
      </c>
      <c r="D148" s="18"/>
      <c r="E148" s="18"/>
      <c r="F148" s="18"/>
      <c r="G148" s="18">
        <f t="shared" si="14"/>
        <v>0</v>
      </c>
      <c r="H148" s="18"/>
      <c r="I148" s="18"/>
      <c r="K148" t="s">
        <v>170</v>
      </c>
    </row>
    <row r="149" spans="1:12" ht="15.75" hidden="1" outlineLevel="1">
      <c r="A149" s="34"/>
      <c r="B149" s="220" t="s">
        <v>192</v>
      </c>
      <c r="C149" s="18" t="s">
        <v>37</v>
      </c>
      <c r="D149" s="18"/>
      <c r="E149" s="18"/>
      <c r="F149" s="18"/>
      <c r="G149" s="18">
        <f t="shared" si="14"/>
        <v>0</v>
      </c>
      <c r="H149" s="18"/>
      <c r="I149" s="18"/>
      <c r="K149" t="s">
        <v>170</v>
      </c>
    </row>
    <row r="150" spans="1:12" ht="15.75" hidden="1" outlineLevel="1">
      <c r="A150" s="34"/>
      <c r="B150" s="220" t="s">
        <v>193</v>
      </c>
      <c r="C150" s="18" t="s">
        <v>37</v>
      </c>
      <c r="D150" s="18"/>
      <c r="E150" s="18"/>
      <c r="F150" s="18"/>
      <c r="G150" s="18">
        <f t="shared" si="14"/>
        <v>0</v>
      </c>
      <c r="H150" s="18"/>
      <c r="I150" s="18" t="e">
        <f>ROUND(E150/H150*100,1)</f>
        <v>#DIV/0!</v>
      </c>
      <c r="K150" t="s">
        <v>170</v>
      </c>
    </row>
    <row r="151" spans="1:12" ht="15.75" collapsed="1">
      <c r="A151" s="34">
        <v>31</v>
      </c>
      <c r="B151" s="220" t="s">
        <v>194</v>
      </c>
      <c r="C151" s="18" t="s">
        <v>37</v>
      </c>
      <c r="D151" s="18"/>
      <c r="E151" s="18">
        <v>315323.58299999998</v>
      </c>
      <c r="F151" s="18"/>
      <c r="G151" s="18">
        <f t="shared" si="14"/>
        <v>315323.58299999998</v>
      </c>
      <c r="H151" s="18">
        <v>503742</v>
      </c>
      <c r="I151" s="18">
        <f>ROUND(E151/H151*100,1)</f>
        <v>62.6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40"/>
      <c r="F152" s="40"/>
      <c r="G152" s="40"/>
      <c r="H152" s="41"/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40"/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40"/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40"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40"/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ht="48.75" customHeight="1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'[4]2019'!$G$164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'[5]2019'!B168</f>
        <v>Начальник ОЭАиП</v>
      </c>
      <c r="C166" s="46"/>
      <c r="D166" s="46"/>
      <c r="E166" s="46"/>
      <c r="F166" s="48"/>
      <c r="G166" s="46" t="s">
        <v>251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B169" s="207" t="s">
        <v>243</v>
      </c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0"/>
  <sheetViews>
    <sheetView showZeros="0" view="pageBreakPreview" zoomScale="90" zoomScaleNormal="100" zoomScaleSheetLayoutView="90" workbookViewId="0">
      <pane ySplit="3" topLeftCell="A10" activePane="bottomLeft" state="frozen"/>
      <selection activeCell="K11" sqref="K11"/>
      <selection pane="bottomLeft" activeCell="P24" sqref="P24"/>
    </sheetView>
  </sheetViews>
  <sheetFormatPr defaultRowHeight="12.75" outlineLevelRow="2" outlineLevelCol="1"/>
  <cols>
    <col min="1" max="1" width="6.14062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8.7109375" hidden="1" customWidth="1" outlineLevel="1"/>
    <col min="11" max="11" width="13.28515625" hidden="1" customWidth="1" outlineLevel="1"/>
    <col min="12" max="12" width="12.42578125" hidden="1" customWidth="1" outlineLevel="1"/>
    <col min="13" max="13" width="13.5703125" hidden="1" customWidth="1" outlineLevel="1"/>
    <col min="14" max="14" width="12" hidden="1" customWidth="1" outlineLevel="1"/>
    <col min="15" max="15" width="9.140625" collapsed="1"/>
  </cols>
  <sheetData>
    <row r="1" spans="1:10" ht="48" customHeight="1">
      <c r="A1" s="282" t="s">
        <v>285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283</v>
      </c>
      <c r="E2" s="289"/>
      <c r="F2" s="289"/>
      <c r="G2" s="289"/>
      <c r="H2" s="290" t="s">
        <v>284</v>
      </c>
      <c r="I2" s="288" t="s">
        <v>3</v>
      </c>
    </row>
    <row r="3" spans="1:10" ht="22.5" customHeight="1">
      <c r="A3" s="286"/>
      <c r="B3" s="287"/>
      <c r="C3" s="287"/>
      <c r="D3" s="249" t="s">
        <v>4</v>
      </c>
      <c r="E3" s="248" t="s">
        <v>5</v>
      </c>
      <c r="F3" s="248" t="s">
        <v>6</v>
      </c>
      <c r="G3" s="248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47">
        <f>D7+D8+D9</f>
        <v>4376.6000000000004</v>
      </c>
      <c r="E5" s="247">
        <f>E7+E8+E9</f>
        <v>4739.6549999999997</v>
      </c>
      <c r="F5" s="247">
        <f>ROUND(E5/D5*100,1)</f>
        <v>108.3</v>
      </c>
      <c r="G5" s="247">
        <f>E5-D5</f>
        <v>363.05499999999938</v>
      </c>
      <c r="H5" s="6">
        <f>H7+H8+H9</f>
        <v>4217.607</v>
      </c>
      <c r="I5" s="6">
        <f>IF(H5&gt;0,ROUND(E5/H5*100,1),0)</f>
        <v>112.4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/>
      <c r="I6" s="7"/>
    </row>
    <row r="7" spans="1:10" ht="15.75">
      <c r="A7" s="7"/>
      <c r="B7" s="218" t="s">
        <v>13</v>
      </c>
      <c r="C7" s="7" t="s">
        <v>11</v>
      </c>
      <c r="D7" s="34">
        <v>3586.6</v>
      </c>
      <c r="E7" s="34">
        <v>3826.8690000000001</v>
      </c>
      <c r="F7" s="34">
        <f>ROUND(E7/D7*100,1)</f>
        <v>106.7</v>
      </c>
      <c r="G7" s="34">
        <f>E7-D7</f>
        <v>240.26900000000023</v>
      </c>
      <c r="H7" s="34">
        <v>3572.44</v>
      </c>
      <c r="I7" s="9">
        <f>IF(H7&gt;0,ROUND(E7/H7*100,1),0)</f>
        <v>107.1</v>
      </c>
    </row>
    <row r="8" spans="1:10" ht="15.75">
      <c r="A8" s="7"/>
      <c r="B8" s="218" t="s">
        <v>14</v>
      </c>
      <c r="C8" s="7" t="s">
        <v>11</v>
      </c>
      <c r="D8" s="34">
        <v>42.3</v>
      </c>
      <c r="E8" s="34">
        <v>46.311999999999998</v>
      </c>
      <c r="F8" s="34">
        <f>ROUND(E8/D8*100,1)</f>
        <v>109.5</v>
      </c>
      <c r="G8" s="34">
        <f>E8-D8</f>
        <v>4.0120000000000005</v>
      </c>
      <c r="H8" s="34">
        <v>44.966999999999999</v>
      </c>
      <c r="I8" s="9">
        <f>IF(H8&gt;0,ROUND(E8/H8*100,1),0)</f>
        <v>103</v>
      </c>
    </row>
    <row r="9" spans="1:10" ht="15.75">
      <c r="A9" s="7"/>
      <c r="B9" s="218" t="s">
        <v>15</v>
      </c>
      <c r="C9" s="7" t="s">
        <v>11</v>
      </c>
      <c r="D9" s="34">
        <v>747.7</v>
      </c>
      <c r="E9" s="34">
        <v>866.47400000000005</v>
      </c>
      <c r="F9" s="34">
        <f>ROUND(E9/D9*100,1)</f>
        <v>115.9</v>
      </c>
      <c r="G9" s="34">
        <f>E9-D9</f>
        <v>118.774</v>
      </c>
      <c r="H9" s="34">
        <v>600.20000000000005</v>
      </c>
      <c r="I9" s="9">
        <f>IF(H9&gt;0,ROUND(E9/H9*100,1),0)</f>
        <v>144.4</v>
      </c>
    </row>
    <row r="10" spans="1:10" ht="15.75">
      <c r="A10" s="7" t="s">
        <v>16</v>
      </c>
      <c r="B10" s="217" t="s">
        <v>17</v>
      </c>
      <c r="C10" s="246" t="s">
        <v>11</v>
      </c>
      <c r="D10" s="6">
        <f>D12+D13</f>
        <v>660</v>
      </c>
      <c r="E10" s="6">
        <f>E12+E13</f>
        <v>376.91700000000003</v>
      </c>
      <c r="F10" s="247">
        <f>ROUND(E10/D10*100,1)</f>
        <v>57.1</v>
      </c>
      <c r="G10" s="247">
        <f>E10-D10</f>
        <v>-283.08299999999997</v>
      </c>
      <c r="H10" s="6">
        <f>H12+H13</f>
        <v>565.01300000000003</v>
      </c>
      <c r="I10" s="246">
        <f t="shared" ref="I10:I28" si="0">IF(H10&gt;0,ROUND(E10/H10*100,1),0)</f>
        <v>66.7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360</v>
      </c>
      <c r="E12" s="34">
        <v>199.92500000000001</v>
      </c>
      <c r="F12" s="34">
        <f>ROUND(E12/D12*100,1)</f>
        <v>55.5</v>
      </c>
      <c r="G12" s="34">
        <f>E12-D12</f>
        <v>-160.07499999999999</v>
      </c>
      <c r="H12" s="34">
        <v>272.09300000000002</v>
      </c>
      <c r="I12" s="9">
        <f t="shared" si="0"/>
        <v>73.5</v>
      </c>
    </row>
    <row r="13" spans="1:10" ht="15.75">
      <c r="A13" s="7"/>
      <c r="B13" s="218" t="s">
        <v>19</v>
      </c>
      <c r="C13" s="7" t="s">
        <v>11</v>
      </c>
      <c r="D13" s="34">
        <v>300</v>
      </c>
      <c r="E13" s="34">
        <v>176.99199999999999</v>
      </c>
      <c r="F13" s="34">
        <f>ROUND(E13/D13*100,1)</f>
        <v>59</v>
      </c>
      <c r="G13" s="34">
        <f>E13-D13</f>
        <v>-123.00800000000001</v>
      </c>
      <c r="H13" s="34">
        <v>292.92</v>
      </c>
      <c r="I13" s="9">
        <f t="shared" si="0"/>
        <v>60.4</v>
      </c>
    </row>
    <row r="14" spans="1:10" ht="15.75">
      <c r="A14" s="7" t="s">
        <v>20</v>
      </c>
      <c r="B14" s="217" t="s">
        <v>286</v>
      </c>
      <c r="C14" s="89" t="s">
        <v>11</v>
      </c>
      <c r="D14" s="247">
        <f>D16+D17+D18</f>
        <v>4369.3</v>
      </c>
      <c r="E14" s="247">
        <f>E16+E17+E18</f>
        <v>4012.7859999999996</v>
      </c>
      <c r="F14" s="247">
        <f>ROUND(E14/D14*100,1)</f>
        <v>91.8</v>
      </c>
      <c r="G14" s="247">
        <f>E14-D14</f>
        <v>-356.51400000000058</v>
      </c>
      <c r="H14" s="6">
        <f>H16+H17+H18</f>
        <v>3775.4569999999999</v>
      </c>
      <c r="I14" s="9">
        <f t="shared" si="0"/>
        <v>106.3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3591.4</v>
      </c>
      <c r="E16" s="34">
        <v>3329.2959999999998</v>
      </c>
      <c r="F16" s="34">
        <f>ROUND(E16/D16*100,1)</f>
        <v>92.7</v>
      </c>
      <c r="G16" s="34">
        <f>E16-D16</f>
        <v>-262.10400000000027</v>
      </c>
      <c r="H16" s="34">
        <v>3189.2449999999999</v>
      </c>
      <c r="I16" s="9">
        <f t="shared" si="0"/>
        <v>104.4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43.5</v>
      </c>
      <c r="E17" s="34">
        <v>46.110999999999997</v>
      </c>
      <c r="F17" s="34">
        <f>ROUND(E17/D17*100,1)</f>
        <v>106</v>
      </c>
      <c r="G17" s="34">
        <f>E17-D17</f>
        <v>2.6109999999999971</v>
      </c>
      <c r="H17" s="34">
        <v>44.945999999999998</v>
      </c>
      <c r="I17" s="9">
        <f t="shared" si="0"/>
        <v>102.6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v>734.4</v>
      </c>
      <c r="E18" s="34">
        <v>637.37900000000002</v>
      </c>
      <c r="F18" s="34">
        <f>ROUND(E18/D18*100,1)</f>
        <v>86.8</v>
      </c>
      <c r="G18" s="34">
        <f>E18-D18</f>
        <v>-97.020999999999958</v>
      </c>
      <c r="H18" s="18">
        <v>541.26599999999996</v>
      </c>
      <c r="I18" s="9">
        <f t="shared" si="0"/>
        <v>117.8</v>
      </c>
    </row>
    <row r="19" spans="1:12" ht="18.75">
      <c r="A19" s="7" t="s">
        <v>23</v>
      </c>
      <c r="B19" s="217" t="s">
        <v>24</v>
      </c>
      <c r="C19" s="89" t="s">
        <v>25</v>
      </c>
      <c r="D19" s="247">
        <f>D21+D22+D23+D24</f>
        <v>31318.548999999999</v>
      </c>
      <c r="E19" s="247">
        <f>E21+E22+E23+E24</f>
        <v>20206.217000000001</v>
      </c>
      <c r="F19" s="247">
        <f>ROUND(E19/D19*100,1)</f>
        <v>64.5</v>
      </c>
      <c r="G19" s="247">
        <f>E19-D19</f>
        <v>-11112.331999999999</v>
      </c>
      <c r="H19" s="6">
        <f>H21+H22+H23+H24</f>
        <v>17132.458999999999</v>
      </c>
      <c r="I19" s="9">
        <f t="shared" si="0"/>
        <v>117.9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4440.6000000000004</v>
      </c>
      <c r="E21" s="34">
        <v>3515.9169999999999</v>
      </c>
      <c r="F21" s="34">
        <f>ROUND(E21/D21*100,1)</f>
        <v>79.2</v>
      </c>
      <c r="G21" s="34">
        <f t="shared" ref="G21:G31" si="1">E21-D21</f>
        <v>-924.68300000000045</v>
      </c>
      <c r="H21" s="34">
        <v>4900.7259999999997</v>
      </c>
      <c r="I21" s="9">
        <f t="shared" si="0"/>
        <v>71.7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26877.949000000001</v>
      </c>
      <c r="E22" s="34">
        <v>16690.3</v>
      </c>
      <c r="F22" s="34">
        <f>ROUND(E22/D22*100,1)</f>
        <v>62.1</v>
      </c>
      <c r="G22" s="34">
        <f t="shared" si="1"/>
        <v>-10187.649000000001</v>
      </c>
      <c r="H22" s="34">
        <v>12231.733</v>
      </c>
      <c r="I22" s="9">
        <f t="shared" si="0"/>
        <v>136.5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>
        <v>0</v>
      </c>
      <c r="E24" s="195">
        <v>0</v>
      </c>
      <c r="F24" s="195">
        <v>0</v>
      </c>
      <c r="G24" s="195">
        <v>0</v>
      </c>
      <c r="H24" s="195"/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1185</v>
      </c>
      <c r="E25" s="18">
        <v>996</v>
      </c>
      <c r="F25" s="18">
        <f t="shared" ref="F25:F29" si="2">ROUND(E25/D25*100,1)</f>
        <v>84.1</v>
      </c>
      <c r="G25" s="18">
        <f t="shared" si="1"/>
        <v>-189</v>
      </c>
      <c r="H25" s="18">
        <v>1810</v>
      </c>
      <c r="I25" s="9">
        <f t="shared" si="0"/>
        <v>55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1057464.2</v>
      </c>
      <c r="E26" s="18">
        <v>1124210.2</v>
      </c>
      <c r="F26" s="18">
        <f t="shared" si="2"/>
        <v>106.3</v>
      </c>
      <c r="G26" s="18">
        <f t="shared" si="1"/>
        <v>66746</v>
      </c>
      <c r="H26" s="18">
        <v>1013549.3860000001</v>
      </c>
      <c r="I26" s="18">
        <f t="shared" si="0"/>
        <v>110.9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168.07499999999999</v>
      </c>
      <c r="E27" s="242">
        <v>475</v>
      </c>
      <c r="F27" s="18">
        <f t="shared" si="2"/>
        <v>282.60000000000002</v>
      </c>
      <c r="G27" s="18">
        <f>E27-D27</f>
        <v>306.92500000000001</v>
      </c>
      <c r="H27" s="18">
        <v>64.301000000000002</v>
      </c>
      <c r="I27" s="18">
        <f t="shared" si="0"/>
        <v>738.7</v>
      </c>
      <c r="J27" t="s">
        <v>22</v>
      </c>
      <c r="K27"/>
    </row>
    <row r="28" spans="1:12" ht="31.5">
      <c r="A28" s="7" t="s">
        <v>39</v>
      </c>
      <c r="B28" s="219" t="s">
        <v>40</v>
      </c>
      <c r="C28" s="18" t="s">
        <v>37</v>
      </c>
      <c r="D28" s="18">
        <v>141142.63500000001</v>
      </c>
      <c r="E28" s="18">
        <v>96910.278000000006</v>
      </c>
      <c r="F28" s="18">
        <f t="shared" si="2"/>
        <v>68.7</v>
      </c>
      <c r="G28" s="18">
        <f t="shared" si="1"/>
        <v>-44232.357000000004</v>
      </c>
      <c r="H28" s="18">
        <v>174287.48</v>
      </c>
      <c r="I28" s="9">
        <f t="shared" si="0"/>
        <v>55.6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4052.7</v>
      </c>
      <c r="E29" s="18">
        <v>4370.5</v>
      </c>
      <c r="F29" s="18">
        <f t="shared" si="2"/>
        <v>107.8</v>
      </c>
      <c r="G29" s="18">
        <f t="shared" si="1"/>
        <v>317.80000000000018</v>
      </c>
      <c r="H29" s="18">
        <v>4133.1139999999996</v>
      </c>
      <c r="I29" s="9">
        <f>IF(H29&gt;0,ROUND(E29/H29*100,1),0)</f>
        <v>105.7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47</v>
      </c>
      <c r="B32" s="219" t="s">
        <v>48</v>
      </c>
      <c r="C32" s="18" t="s">
        <v>37</v>
      </c>
      <c r="D32" s="23"/>
      <c r="E32" s="23"/>
      <c r="F32" s="23"/>
      <c r="G32" s="23"/>
      <c r="H32" s="18">
        <f>'9МЕС БЕЗ СПЕЦ.НАДБ.'!H32</f>
        <v>0</v>
      </c>
      <c r="I32" s="18">
        <f>IF(H32&gt;0,ROUND(E32/H32*100,1),0)</f>
        <v>0</v>
      </c>
    </row>
    <row r="33" spans="1:10" ht="15.75">
      <c r="A33" s="7" t="s">
        <v>49</v>
      </c>
      <c r="B33" s="217" t="s">
        <v>50</v>
      </c>
      <c r="C33" s="18" t="s">
        <v>37</v>
      </c>
      <c r="D33" s="26">
        <f>D35+D39+D40+D41+D42+D43+D45+D44</f>
        <v>102338.60307999997</v>
      </c>
      <c r="E33" s="26">
        <f>E35+E39+E40+E41+E42+E43+E45+E44</f>
        <v>151023.78200000004</v>
      </c>
      <c r="F33" s="26"/>
      <c r="G33" s="26">
        <f t="shared" ref="G33:G44" si="3">E33-D33</f>
        <v>48685.178920000064</v>
      </c>
      <c r="H33" s="26">
        <f>H35+H39+H40+H41+H42+H43+H45+H44</f>
        <v>109561.35999999996</v>
      </c>
      <c r="I33" s="26">
        <f>IF(H33&gt;0,ROUND(E33/H33*100,1),0)</f>
        <v>137.80000000000001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3"/>
        <v>0</v>
      </c>
      <c r="H34" s="28"/>
      <c r="I34" s="28"/>
    </row>
    <row r="35" spans="1:10" ht="15.75">
      <c r="A35" s="34"/>
      <c r="B35" s="223" t="s">
        <v>53</v>
      </c>
      <c r="C35" s="18" t="s">
        <v>37</v>
      </c>
      <c r="D35" s="28">
        <f>D37+D38</f>
        <v>-6686.9919200000304</v>
      </c>
      <c r="E35" s="28">
        <f>E37+E38</f>
        <v>23153.548000000039</v>
      </c>
      <c r="F35" s="28"/>
      <c r="G35" s="28">
        <f t="shared" si="3"/>
        <v>29840.539920000068</v>
      </c>
      <c r="H35" s="28">
        <f>H37+H38</f>
        <v>7064.8189999999595</v>
      </c>
      <c r="I35" s="28">
        <f>IF(H35&gt;0,ROUND(E35/H35*100,1),0)</f>
        <v>327.7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8"/>
      <c r="E36" s="28"/>
      <c r="F36" s="28"/>
      <c r="G36" s="28"/>
      <c r="H36" s="28"/>
      <c r="I36" s="28"/>
    </row>
    <row r="37" spans="1:10" ht="15.75">
      <c r="A37" s="34"/>
      <c r="B37" s="224" t="s">
        <v>55</v>
      </c>
      <c r="C37" s="18" t="s">
        <v>37</v>
      </c>
      <c r="D37" s="28"/>
      <c r="E37" s="28">
        <f>E96</f>
        <v>23153.548000000039</v>
      </c>
      <c r="F37" s="28"/>
      <c r="G37" s="28"/>
      <c r="H37" s="28">
        <f>H92</f>
        <v>7064.8189999999595</v>
      </c>
      <c r="I37" s="28"/>
    </row>
    <row r="38" spans="1:10" ht="15.75">
      <c r="A38" s="34"/>
      <c r="B38" s="224" t="s">
        <v>56</v>
      </c>
      <c r="C38" s="18" t="s">
        <v>37</v>
      </c>
      <c r="D38" s="28">
        <f>D96</f>
        <v>-6686.9919200000304</v>
      </c>
      <c r="E38" s="28">
        <v>0</v>
      </c>
      <c r="F38" s="28"/>
      <c r="G38" s="28">
        <f t="shared" si="3"/>
        <v>6686.9919200000304</v>
      </c>
      <c r="H38" s="28">
        <v>0</v>
      </c>
      <c r="I38" s="28"/>
    </row>
    <row r="39" spans="1:10" ht="15.75">
      <c r="A39" s="34"/>
      <c r="B39" s="223" t="s">
        <v>57</v>
      </c>
      <c r="C39" s="18" t="s">
        <v>37</v>
      </c>
      <c r="D39" s="28">
        <f>D129</f>
        <v>109025.595</v>
      </c>
      <c r="E39" s="28">
        <f>E129</f>
        <v>127870.234</v>
      </c>
      <c r="F39" s="28">
        <f t="shared" ref="F39" si="4">ROUND(E39/D39*100,1)</f>
        <v>117.3</v>
      </c>
      <c r="G39" s="28">
        <f t="shared" si="3"/>
        <v>18844.638999999996</v>
      </c>
      <c r="H39" s="27">
        <f>H129</f>
        <v>102496.541</v>
      </c>
      <c r="I39" s="28">
        <f>IF(H39&gt;0,ROUND(E39/H39*100,1),0)</f>
        <v>124.8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3"/>
        <v>0</v>
      </c>
      <c r="H40" s="28"/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3"/>
        <v>0</v>
      </c>
      <c r="H41" s="28"/>
      <c r="I41" s="28"/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3"/>
        <v>0</v>
      </c>
      <c r="H42" s="18">
        <f>'9МЕС БЕЗ СПЕЦ.НАДБ.'!H42</f>
        <v>0</v>
      </c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3"/>
        <v>0</v>
      </c>
      <c r="H43" s="18"/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3"/>
        <v>0</v>
      </c>
      <c r="H44" s="18"/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18"/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67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76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84</v>
      </c>
      <c r="B59" s="220" t="s">
        <v>85</v>
      </c>
      <c r="C59" s="18" t="s">
        <v>86</v>
      </c>
      <c r="D59" s="28">
        <v>6294</v>
      </c>
      <c r="E59" s="28">
        <v>5595</v>
      </c>
      <c r="F59" s="28">
        <f>ROUND(E59/D59*100,1)</f>
        <v>88.9</v>
      </c>
      <c r="G59" s="28">
        <f>E59-D59</f>
        <v>-699</v>
      </c>
      <c r="H59" s="28">
        <v>5568</v>
      </c>
      <c r="I59" s="28">
        <f t="shared" ref="I59:I64" si="5">IF(H59&gt;0,ROUND(E59/H59*100,1),0)</f>
        <v>100.5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5"/>
        <v>0</v>
      </c>
    </row>
    <row r="61" spans="1:12" ht="15.75" collapsed="1">
      <c r="A61" s="34" t="s">
        <v>91</v>
      </c>
      <c r="B61" s="220" t="s">
        <v>92</v>
      </c>
      <c r="C61" s="18" t="s">
        <v>37</v>
      </c>
      <c r="D61" s="33">
        <v>307792.5</v>
      </c>
      <c r="E61" s="33">
        <v>295572.3</v>
      </c>
      <c r="F61" s="28">
        <f>ROUND(E61/D61*100,1)</f>
        <v>96</v>
      </c>
      <c r="G61" s="28">
        <f>E61-D61</f>
        <v>-12220.200000000012</v>
      </c>
      <c r="H61" s="33">
        <v>247865.2</v>
      </c>
      <c r="I61" s="28">
        <f t="shared" si="5"/>
        <v>119.2</v>
      </c>
      <c r="J61" t="s">
        <v>87</v>
      </c>
    </row>
    <row r="62" spans="1:12" ht="15.75">
      <c r="A62" s="34" t="s">
        <v>93</v>
      </c>
      <c r="B62" s="220" t="s">
        <v>94</v>
      </c>
      <c r="C62" s="18" t="s">
        <v>95</v>
      </c>
      <c r="D62" s="178">
        <v>5433.6</v>
      </c>
      <c r="E62" s="178">
        <v>5840.7</v>
      </c>
      <c r="F62" s="28">
        <f>ROUND(E62/D62*100,1)</f>
        <v>107.5</v>
      </c>
      <c r="G62" s="28">
        <f>E62-D62</f>
        <v>407.09999999999945</v>
      </c>
      <c r="H62" s="178">
        <v>4911.8</v>
      </c>
      <c r="I62" s="28">
        <f t="shared" si="5"/>
        <v>118.9</v>
      </c>
      <c r="J62" t="s">
        <v>87</v>
      </c>
      <c r="L62">
        <v>563699649</v>
      </c>
    </row>
    <row r="63" spans="1:12" ht="15.75">
      <c r="A63" s="34" t="s">
        <v>96</v>
      </c>
      <c r="B63" s="220" t="s">
        <v>97</v>
      </c>
      <c r="C63" s="18" t="s">
        <v>37</v>
      </c>
      <c r="D63" s="18"/>
      <c r="E63" s="18"/>
      <c r="F63" s="28"/>
      <c r="G63" s="18"/>
      <c r="H63" s="18"/>
      <c r="I63" s="18">
        <f t="shared" si="5"/>
        <v>0</v>
      </c>
      <c r="J63" t="s">
        <v>58</v>
      </c>
      <c r="L63">
        <v>461145397.5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58"/>
      <c r="I64" s="59">
        <f t="shared" si="5"/>
        <v>0</v>
      </c>
      <c r="J64" s="31"/>
    </row>
    <row r="65" spans="1:13" ht="15.75" collapsed="1">
      <c r="A65" s="34" t="s">
        <v>100</v>
      </c>
      <c r="B65" s="220" t="s">
        <v>101</v>
      </c>
      <c r="C65" s="18" t="s">
        <v>102</v>
      </c>
      <c r="D65" s="60">
        <v>230043.2</v>
      </c>
      <c r="E65" s="28">
        <v>186421</v>
      </c>
      <c r="F65" s="28">
        <f>ROUND(E65/D65*100,1)</f>
        <v>81</v>
      </c>
      <c r="G65" s="28">
        <f>E65-D65</f>
        <v>-43622.200000000012</v>
      </c>
      <c r="H65" s="28">
        <v>137324.67000000001</v>
      </c>
      <c r="I65" s="28">
        <f>ROUND(E65/H65*100,1)</f>
        <v>135.80000000000001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107</v>
      </c>
      <c r="B70" s="220" t="s">
        <v>108</v>
      </c>
      <c r="C70" s="18" t="s">
        <v>37</v>
      </c>
      <c r="D70" s="28">
        <v>1250339.449</v>
      </c>
      <c r="E70" s="28">
        <f>957901.79+121078.8</f>
        <v>1078980.5900000001</v>
      </c>
      <c r="F70" s="18">
        <f t="shared" ref="F70:F96" si="6">ROUND(E70/D70*100,1)</f>
        <v>86.3</v>
      </c>
      <c r="G70" s="18">
        <f>E70-D70</f>
        <v>-171358.85899999994</v>
      </c>
      <c r="H70" s="18">
        <v>886454.82</v>
      </c>
      <c r="I70" s="18">
        <f t="shared" ref="I70:I85" si="7">ROUND(E70/H70*100,1)</f>
        <v>121.7</v>
      </c>
      <c r="J70" t="s">
        <v>103</v>
      </c>
      <c r="M70">
        <f>1759313-152984-76292-1017231</f>
        <v>512806</v>
      </c>
    </row>
    <row r="71" spans="1:13" ht="15.75">
      <c r="A71" s="34" t="s">
        <v>109</v>
      </c>
      <c r="B71" s="220" t="s">
        <v>110</v>
      </c>
      <c r="C71" s="18" t="s">
        <v>37</v>
      </c>
      <c r="D71" s="28">
        <v>1030791.7610000001</v>
      </c>
      <c r="E71" s="18">
        <v>740729.60900000005</v>
      </c>
      <c r="F71" s="18">
        <f t="shared" si="6"/>
        <v>71.900000000000006</v>
      </c>
      <c r="G71" s="18">
        <f>E71-D71</f>
        <v>-290062.152</v>
      </c>
      <c r="H71" s="18">
        <v>542010.86</v>
      </c>
      <c r="I71" s="18">
        <f t="shared" si="7"/>
        <v>136.69999999999999</v>
      </c>
      <c r="J71" t="s">
        <v>103</v>
      </c>
    </row>
    <row r="72" spans="1:13" ht="15.75">
      <c r="A72" s="34" t="s">
        <v>111</v>
      </c>
      <c r="B72" s="220" t="s">
        <v>112</v>
      </c>
      <c r="C72" s="18" t="s">
        <v>37</v>
      </c>
      <c r="D72" s="33">
        <f>D70-D71</f>
        <v>219547.68799999997</v>
      </c>
      <c r="E72" s="33">
        <f>E70-E71</f>
        <v>338250.98100000003</v>
      </c>
      <c r="F72" s="34">
        <f t="shared" si="6"/>
        <v>154.1</v>
      </c>
      <c r="G72" s="18">
        <f>E72-D72</f>
        <v>118703.29300000006</v>
      </c>
      <c r="H72" s="34">
        <f>H70-H71</f>
        <v>344443.95999999996</v>
      </c>
      <c r="I72" s="34">
        <f t="shared" si="7"/>
        <v>98.2</v>
      </c>
      <c r="J72" t="s">
        <v>103</v>
      </c>
      <c r="M72" s="11">
        <f>D72-D73</f>
        <v>52217.45107999997</v>
      </c>
    </row>
    <row r="73" spans="1:13" ht="15.75">
      <c r="A73" s="34"/>
      <c r="B73" s="227" t="s">
        <v>113</v>
      </c>
      <c r="C73" s="18" t="s">
        <v>37</v>
      </c>
      <c r="D73" s="26">
        <f>D74+D75+D76</f>
        <v>167330.23692</v>
      </c>
      <c r="E73" s="6">
        <f>E74+E75+E76</f>
        <v>232794.23300000001</v>
      </c>
      <c r="F73" s="6">
        <f t="shared" si="6"/>
        <v>139.1</v>
      </c>
      <c r="G73" s="6">
        <f t="shared" ref="G73:G96" si="8">E73-D73</f>
        <v>65463.996080000012</v>
      </c>
      <c r="H73" s="26">
        <f>H74+H75+H76</f>
        <v>175561.06099999999</v>
      </c>
      <c r="I73" s="6">
        <f t="shared" si="7"/>
        <v>132.6</v>
      </c>
      <c r="J73" t="s">
        <v>103</v>
      </c>
      <c r="M73" s="11">
        <f>M72+D77</f>
        <v>52217.45107999997</v>
      </c>
    </row>
    <row r="74" spans="1:13" ht="15.75">
      <c r="A74" s="34"/>
      <c r="B74" s="228" t="s">
        <v>114</v>
      </c>
      <c r="C74" s="18" t="s">
        <v>37</v>
      </c>
      <c r="D74" s="28">
        <v>5480.5949199999995</v>
      </c>
      <c r="E74" s="34">
        <v>11021.045</v>
      </c>
      <c r="F74" s="34">
        <f t="shared" si="6"/>
        <v>201.1</v>
      </c>
      <c r="G74" s="18">
        <f t="shared" si="8"/>
        <v>5540.4500800000005</v>
      </c>
      <c r="H74" s="34">
        <v>9171.9429999999993</v>
      </c>
      <c r="I74" s="34">
        <f t="shared" si="7"/>
        <v>120.2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54810.885999999999</v>
      </c>
      <c r="E75" s="34">
        <v>55460.785000000003</v>
      </c>
      <c r="F75" s="18">
        <f t="shared" si="6"/>
        <v>101.2</v>
      </c>
      <c r="G75" s="18">
        <f t="shared" si="8"/>
        <v>649.89900000000489</v>
      </c>
      <c r="H75" s="18">
        <v>47087.343999999997</v>
      </c>
      <c r="I75" s="18">
        <f t="shared" si="7"/>
        <v>117.8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107038.75599999999</v>
      </c>
      <c r="E76" s="34">
        <v>166312.40299999999</v>
      </c>
      <c r="F76" s="18">
        <f t="shared" si="6"/>
        <v>155.4</v>
      </c>
      <c r="G76" s="18">
        <f t="shared" si="8"/>
        <v>59273.646999999997</v>
      </c>
      <c r="H76" s="18">
        <v>119301.774</v>
      </c>
      <c r="I76" s="18">
        <f t="shared" si="7"/>
        <v>139.4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34">
        <v>62837.368999999999</v>
      </c>
      <c r="F77" s="18"/>
      <c r="G77" s="18">
        <f t="shared" si="8"/>
        <v>62837.368999999999</v>
      </c>
      <c r="H77" s="18">
        <v>12910.311</v>
      </c>
      <c r="I77" s="18">
        <f t="shared" si="7"/>
        <v>486.7</v>
      </c>
      <c r="J77" t="s">
        <v>103</v>
      </c>
    </row>
    <row r="78" spans="1:13" ht="15.75">
      <c r="A78" s="34"/>
      <c r="B78" s="220" t="s">
        <v>118</v>
      </c>
      <c r="C78" s="18" t="s">
        <v>37</v>
      </c>
      <c r="D78" s="28">
        <v>60084.5</v>
      </c>
      <c r="E78" s="34">
        <v>137927.89499999999</v>
      </c>
      <c r="F78" s="18">
        <f t="shared" si="6"/>
        <v>229.6</v>
      </c>
      <c r="G78" s="18">
        <f t="shared" si="8"/>
        <v>77843.39499999999</v>
      </c>
      <c r="H78" s="18">
        <v>174728.391</v>
      </c>
      <c r="I78" s="18">
        <f t="shared" si="7"/>
        <v>78.900000000000006</v>
      </c>
      <c r="J78" t="s">
        <v>103</v>
      </c>
    </row>
    <row r="79" spans="1:13" ht="15.75" hidden="1" outlineLevel="1">
      <c r="A79" s="34"/>
      <c r="B79" s="220" t="s">
        <v>119</v>
      </c>
      <c r="C79" s="18" t="s">
        <v>37</v>
      </c>
      <c r="D79" s="33"/>
      <c r="E79" s="34"/>
      <c r="F79" s="18" t="e">
        <f t="shared" si="6"/>
        <v>#DIV/0!</v>
      </c>
      <c r="G79" s="18">
        <f t="shared" si="8"/>
        <v>0</v>
      </c>
      <c r="H79" s="58"/>
      <c r="I79" s="18" t="e">
        <f t="shared" si="7"/>
        <v>#DIV/0!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6"/>
        <v>#DIV/0!</v>
      </c>
      <c r="G80" s="18">
        <f t="shared" si="8"/>
        <v>0</v>
      </c>
      <c r="H80" s="58"/>
      <c r="I80" s="18" t="e">
        <f t="shared" si="7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6"/>
        <v>#DIV/0!</v>
      </c>
      <c r="G81" s="18">
        <f t="shared" si="8"/>
        <v>0</v>
      </c>
      <c r="H81" s="58"/>
      <c r="I81" s="18" t="e">
        <f t="shared" si="7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6"/>
        <v>#DIV/0!</v>
      </c>
      <c r="G82" s="18">
        <f t="shared" si="8"/>
        <v>0</v>
      </c>
      <c r="H82" s="58"/>
      <c r="I82" s="18" t="e">
        <f t="shared" si="7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6"/>
        <v>#DIV/0!</v>
      </c>
      <c r="G83" s="18">
        <f t="shared" si="8"/>
        <v>0</v>
      </c>
      <c r="H83" s="58"/>
      <c r="I83" s="18" t="e">
        <f t="shared" si="7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6"/>
        <v>#DIV/0!</v>
      </c>
      <c r="G84" s="18">
        <f t="shared" si="8"/>
        <v>0</v>
      </c>
      <c r="H84" s="58"/>
      <c r="I84" s="18" t="e">
        <f t="shared" si="7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6"/>
        <v>#DIV/0!</v>
      </c>
      <c r="G85" s="18">
        <f t="shared" si="8"/>
        <v>0</v>
      </c>
      <c r="H85" s="58"/>
      <c r="I85" s="18" t="e">
        <f t="shared" si="7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6"/>
        <v>#DIV/0!</v>
      </c>
      <c r="G86" s="18">
        <f t="shared" si="8"/>
        <v>0</v>
      </c>
      <c r="H86" s="58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6"/>
        <v>#DIV/0!</v>
      </c>
      <c r="G87" s="18">
        <f t="shared" si="8"/>
        <v>0</v>
      </c>
      <c r="H87" s="58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6"/>
        <v>#DIV/0!</v>
      </c>
      <c r="G88" s="18">
        <f t="shared" si="8"/>
        <v>0</v>
      </c>
      <c r="H88" s="58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D72-D73+D77-D78</f>
        <v>-7867.0489200000302</v>
      </c>
      <c r="E89" s="6">
        <f>E72-E73+E77-E78</f>
        <v>30366.222000000038</v>
      </c>
      <c r="F89" s="6">
        <f t="shared" si="6"/>
        <v>-386</v>
      </c>
      <c r="G89" s="6">
        <f t="shared" si="8"/>
        <v>38233.270920000068</v>
      </c>
      <c r="H89" s="62">
        <f>H72-H73+H77-H78</f>
        <v>7064.8189999999595</v>
      </c>
      <c r="I89" s="6">
        <f t="shared" ref="I89:I96" si="9">ROUND(E89/H89*100,1)</f>
        <v>429.8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/>
      <c r="E90" s="195">
        <v>0</v>
      </c>
      <c r="F90" s="195">
        <v>0</v>
      </c>
      <c r="G90" s="195">
        <v>0</v>
      </c>
      <c r="H90" s="195">
        <v>0</v>
      </c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8"/>
        <v>-15.822778173897415</v>
      </c>
      <c r="H91" s="34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-7867.0489200000302</v>
      </c>
      <c r="E92" s="34">
        <f>E89</f>
        <v>30366.222000000038</v>
      </c>
      <c r="F92" s="18">
        <f t="shared" si="6"/>
        <v>-386</v>
      </c>
      <c r="G92" s="18">
        <f t="shared" si="8"/>
        <v>38233.270920000068</v>
      </c>
      <c r="H92" s="34">
        <f>H89</f>
        <v>7064.8189999999595</v>
      </c>
      <c r="I92" s="18">
        <f t="shared" si="9"/>
        <v>429.8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v>-1180.057</v>
      </c>
      <c r="E93" s="195">
        <v>7212.674</v>
      </c>
      <c r="F93" s="195">
        <v>0</v>
      </c>
      <c r="G93" s="195">
        <v>0</v>
      </c>
      <c r="H93" s="195">
        <v>617.91999999999996</v>
      </c>
      <c r="I93" s="195">
        <v>0</v>
      </c>
      <c r="J93" t="s">
        <v>103</v>
      </c>
    </row>
    <row r="94" spans="1:10" ht="15.75" hidden="1" outlineLevel="1">
      <c r="A94" s="34"/>
      <c r="B94" s="220" t="s">
        <v>130</v>
      </c>
      <c r="C94" s="18" t="s">
        <v>37</v>
      </c>
      <c r="D94" s="33"/>
      <c r="E94" s="34"/>
      <c r="F94" s="18" t="e">
        <f t="shared" si="6"/>
        <v>#DIV/0!</v>
      </c>
      <c r="G94" s="18">
        <f t="shared" si="8"/>
        <v>0</v>
      </c>
      <c r="H94" s="34"/>
      <c r="I94" s="18" t="e">
        <f t="shared" si="9"/>
        <v>#DIV/0!</v>
      </c>
      <c r="J94" t="s">
        <v>103</v>
      </c>
    </row>
    <row r="95" spans="1:10" ht="15.75" hidden="1" outlineLevel="2">
      <c r="A95" s="34"/>
      <c r="B95" s="220" t="s">
        <v>131</v>
      </c>
      <c r="C95" s="18" t="s">
        <v>37</v>
      </c>
      <c r="D95" s="33"/>
      <c r="E95" s="34"/>
      <c r="F95" s="18" t="e">
        <f t="shared" si="6"/>
        <v>#DIV/0!</v>
      </c>
      <c r="G95" s="18">
        <f t="shared" si="8"/>
        <v>0</v>
      </c>
      <c r="H95" s="34"/>
      <c r="I95" s="18" t="e">
        <f t="shared" si="9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-6686.9919200000304</v>
      </c>
      <c r="E96" s="34">
        <f>E92-E93</f>
        <v>23153.548000000039</v>
      </c>
      <c r="F96" s="18">
        <f t="shared" si="6"/>
        <v>-346.2</v>
      </c>
      <c r="G96" s="18">
        <f t="shared" si="8"/>
        <v>29840.539920000068</v>
      </c>
      <c r="H96" s="34">
        <f>H92-H93</f>
        <v>6446.8989999999594</v>
      </c>
      <c r="I96" s="18">
        <f t="shared" si="9"/>
        <v>359.1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34" t="s">
        <v>136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132256.14300000001</v>
      </c>
      <c r="E102" s="6">
        <f>E103+E106</f>
        <v>-3223.1079999999993</v>
      </c>
      <c r="F102" s="6">
        <f>ROUND(E102/D102*100,1)</f>
        <v>-2.4</v>
      </c>
      <c r="G102" s="6">
        <f>E102-D102</f>
        <v>-135479.25100000002</v>
      </c>
      <c r="H102" s="6">
        <f>H103+H106</f>
        <v>64352.92</v>
      </c>
      <c r="I102" s="6">
        <f>ROUND(E102/H102*100,1)</f>
        <v>-5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-1180.057</v>
      </c>
      <c r="E103" s="195">
        <v>7212.6750000000002</v>
      </c>
      <c r="F103" s="195">
        <v>0</v>
      </c>
      <c r="G103" s="195">
        <v>0</v>
      </c>
      <c r="H103" s="195">
        <f>H93</f>
        <v>617.91999999999996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0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>
        <v>133436.20000000001</v>
      </c>
      <c r="E106" s="18">
        <v>-10435.782999999999</v>
      </c>
      <c r="F106" s="18">
        <f>ROUND(E106/D106*100,1)</f>
        <v>-7.8</v>
      </c>
      <c r="G106" s="34">
        <f t="shared" si="10"/>
        <v>-143871.98300000001</v>
      </c>
      <c r="H106" s="18">
        <v>63735</v>
      </c>
      <c r="I106" s="18">
        <f>ROUND(E106/H106*100,1)</f>
        <v>-16.399999999999999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58852.831999999995</v>
      </c>
      <c r="E107" s="6">
        <f>SUM(E108:E112)</f>
        <v>67758.175000000003</v>
      </c>
      <c r="F107" s="6">
        <f>ROUND(E107/D107*100,1)</f>
        <v>115.1</v>
      </c>
      <c r="G107" s="6">
        <f t="shared" si="10"/>
        <v>8905.343000000008</v>
      </c>
      <c r="H107" s="6">
        <f>SUM(H108:H112)</f>
        <v>58421.258999999998</v>
      </c>
      <c r="I107" s="6">
        <f>IF(H107&gt;0,ROUND(E107/H107*100,1),0)</f>
        <v>116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/>
      <c r="F108" s="6"/>
      <c r="G108" s="18">
        <f t="shared" si="10"/>
        <v>0</v>
      </c>
      <c r="H108" s="18">
        <f>8419.748-955.3</f>
        <v>7464.4479999999994</v>
      </c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1896.684</v>
      </c>
      <c r="E109" s="34">
        <v>1404.7819999999999</v>
      </c>
      <c r="F109" s="18">
        <f>ROUND(E109/D109*100,1)</f>
        <v>74.099999999999994</v>
      </c>
      <c r="G109" s="18">
        <f t="shared" si="10"/>
        <v>-491.90200000000004</v>
      </c>
      <c r="H109" s="34">
        <v>1459.538</v>
      </c>
      <c r="I109" s="34">
        <f>ROUND(E109/H109*100,1)</f>
        <v>96.2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941.72900000000004</v>
      </c>
      <c r="E110" s="34">
        <v>996.46100000000001</v>
      </c>
      <c r="F110" s="18">
        <f>ROUND(E110/D110*100,1)</f>
        <v>105.8</v>
      </c>
      <c r="G110" s="18">
        <f t="shared" si="10"/>
        <v>54.731999999999971</v>
      </c>
      <c r="H110" s="34">
        <v>837.31200000000001</v>
      </c>
      <c r="I110" s="34">
        <f>ROUND(E110/H110*100,1)</f>
        <v>119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11683.035</v>
      </c>
      <c r="E111" s="34">
        <v>16660.019</v>
      </c>
      <c r="F111" s="18">
        <f>ROUND(E111/D111*100,1)</f>
        <v>142.6</v>
      </c>
      <c r="G111" s="18">
        <f t="shared" si="10"/>
        <v>4976.9840000000004</v>
      </c>
      <c r="H111" s="34">
        <v>11683.035</v>
      </c>
      <c r="I111" s="34">
        <f>ROUND(E111/H111*100,1)</f>
        <v>142.6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44331.383999999998</v>
      </c>
      <c r="E112" s="34">
        <v>48696.913</v>
      </c>
      <c r="F112" s="18">
        <f>ROUND(E112/D112*100,1)</f>
        <v>109.8</v>
      </c>
      <c r="G112" s="18">
        <f t="shared" si="10"/>
        <v>4365.5290000000023</v>
      </c>
      <c r="H112" s="34">
        <v>36976.925999999999</v>
      </c>
      <c r="I112" s="34">
        <f>ROUND(E112/H112*100,1)</f>
        <v>131.69999999999999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64296.2</v>
      </c>
      <c r="E113" s="6">
        <f>SUM(E115:E120)</f>
        <v>36401.487999999998</v>
      </c>
      <c r="F113" s="6">
        <f>ROUND(E113/D113*100,1)</f>
        <v>56.6</v>
      </c>
      <c r="G113" s="6">
        <f t="shared" si="10"/>
        <v>-27894.712</v>
      </c>
      <c r="H113" s="6">
        <f>SUM(H115:H120)</f>
        <v>28909.328000000001</v>
      </c>
      <c r="I113" s="6">
        <f>ROUND(E113/H113*100,1)</f>
        <v>125.9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1" si="11">E115-D115</f>
        <v>0</v>
      </c>
      <c r="H115" s="18"/>
      <c r="I115" s="18" t="e">
        <f t="shared" ref="I115:I121" si="12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1"/>
        <v>0</v>
      </c>
      <c r="H116" s="18"/>
      <c r="I116" s="18" t="e">
        <f t="shared" si="12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f>D61*12%</f>
        <v>36935.1</v>
      </c>
      <c r="E117" s="18">
        <v>35298.144999999997</v>
      </c>
      <c r="F117" s="18">
        <f>ROUND(E117/D117*100,1)</f>
        <v>95.6</v>
      </c>
      <c r="G117" s="18">
        <f t="shared" si="11"/>
        <v>-1636.9550000000017</v>
      </c>
      <c r="H117" s="18">
        <v>27954</v>
      </c>
      <c r="I117" s="18">
        <f t="shared" si="12"/>
        <v>126.3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2737.7</v>
      </c>
      <c r="E118" s="35">
        <f>1103.343</f>
        <v>1103.3430000000001</v>
      </c>
      <c r="F118" s="18">
        <f>ROUND(E118/D118*100,1)</f>
        <v>40.299999999999997</v>
      </c>
      <c r="G118" s="35">
        <f t="shared" si="11"/>
        <v>-1634.3569999999997</v>
      </c>
      <c r="H118" s="35">
        <v>955.32799999999997</v>
      </c>
      <c r="I118" s="18">
        <f t="shared" si="12"/>
        <v>115.5</v>
      </c>
      <c r="J118" s="11" t="s">
        <v>139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1"/>
        <v>0</v>
      </c>
      <c r="H119" s="18"/>
      <c r="I119" s="18" t="e">
        <f t="shared" si="12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24623.4</v>
      </c>
      <c r="E120" s="18"/>
      <c r="F120" s="18">
        <f>ROUND(E120/D120*100,1)</f>
        <v>0</v>
      </c>
      <c r="G120" s="18">
        <f t="shared" si="11"/>
        <v>-24623.4</v>
      </c>
      <c r="H120" s="18"/>
      <c r="I120" s="18" t="e">
        <f t="shared" si="12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255405.17499999999</v>
      </c>
      <c r="E121" s="6">
        <f>E102+E113+E107</f>
        <v>100936.55499999999</v>
      </c>
      <c r="F121" s="6">
        <f>ROUND(E121/D121*100,1)</f>
        <v>39.5</v>
      </c>
      <c r="G121" s="6">
        <f t="shared" si="11"/>
        <v>-154468.62</v>
      </c>
      <c r="H121" s="6">
        <f>H102+H113+H107</f>
        <v>151683.50699999998</v>
      </c>
      <c r="I121" s="6">
        <f t="shared" si="12"/>
        <v>66.5</v>
      </c>
      <c r="J121" s="11" t="s">
        <v>139</v>
      </c>
    </row>
    <row r="122" spans="1:13" ht="15.75">
      <c r="A122" s="34" t="s">
        <v>157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 collapsed="1">
      <c r="A125" s="34" t="s">
        <v>161</v>
      </c>
      <c r="B125" s="227" t="s">
        <v>162</v>
      </c>
      <c r="C125" s="18" t="s">
        <v>37</v>
      </c>
      <c r="D125" s="6">
        <f>SUM(D127:D130)</f>
        <v>1030791.7659999998</v>
      </c>
      <c r="E125" s="6">
        <f>SUM(E127:E130)</f>
        <v>894014.52300000004</v>
      </c>
      <c r="F125" s="6">
        <f t="shared" ref="F125:F130" si="13">ROUND(E125/D125*100,1)</f>
        <v>86.7</v>
      </c>
      <c r="G125" s="6">
        <f t="shared" ref="G125:G151" si="14">E125-D125</f>
        <v>-136777.24299999978</v>
      </c>
      <c r="H125" s="6">
        <f>SUM(H127:H130)</f>
        <v>608263.57299999997</v>
      </c>
      <c r="I125" s="6">
        <f>ROUND(E125/H125*100,1)</f>
        <v>147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4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638004.22699999996</v>
      </c>
      <c r="E127" s="18">
        <v>498790.467</v>
      </c>
      <c r="F127" s="18">
        <f t="shared" si="13"/>
        <v>78.2</v>
      </c>
      <c r="G127" s="18">
        <f t="shared" si="14"/>
        <v>-139213.75999999995</v>
      </c>
      <c r="H127" s="18">
        <v>287782.55200000003</v>
      </c>
      <c r="I127" s="18">
        <f>ROUND(E127/H127*100,1)</f>
        <v>173.3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f>230475.941+27657.112</f>
        <v>258133.05299999999</v>
      </c>
      <c r="E128" s="18">
        <f>212468.554+25497.64</f>
        <v>237966.19400000002</v>
      </c>
      <c r="F128" s="18">
        <f t="shared" si="13"/>
        <v>92.2</v>
      </c>
      <c r="G128" s="18">
        <f t="shared" si="14"/>
        <v>-20166.858999999968</v>
      </c>
      <c r="H128" s="18">
        <f>172190.934+20658.988</f>
        <v>192849.92200000002</v>
      </c>
      <c r="I128" s="18">
        <f>ROUND(E128/H128*100,1)</f>
        <v>123.4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109025.595</v>
      </c>
      <c r="E129" s="18">
        <v>127870.234</v>
      </c>
      <c r="F129" s="18">
        <f t="shared" si="13"/>
        <v>117.3</v>
      </c>
      <c r="G129" s="18">
        <f t="shared" si="14"/>
        <v>18844.638999999996</v>
      </c>
      <c r="H129" s="18">
        <v>102496.541</v>
      </c>
      <c r="I129" s="18">
        <f>ROUND(E129/H129*100,1)</f>
        <v>124.8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25628.891</v>
      </c>
      <c r="E130" s="18">
        <v>29387.628000000001</v>
      </c>
      <c r="F130" s="18">
        <f t="shared" si="13"/>
        <v>114.7</v>
      </c>
      <c r="G130" s="18">
        <f t="shared" si="14"/>
        <v>3758.737000000001</v>
      </c>
      <c r="H130" s="18">
        <v>25134.558000000001</v>
      </c>
      <c r="I130" s="18">
        <f>ROUND(E130/H130*100,1)</f>
        <v>116.9</v>
      </c>
      <c r="J130" s="11" t="s">
        <v>139</v>
      </c>
    </row>
    <row r="131" spans="1:13" ht="23.25" customHeight="1">
      <c r="A131" s="18" t="s">
        <v>168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6"/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4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34">
        <v>2085297.156</v>
      </c>
      <c r="F133" s="34"/>
      <c r="G133" s="34">
        <f t="shared" si="14"/>
        <v>2085297.156</v>
      </c>
      <c r="H133" s="34">
        <v>1558506.405</v>
      </c>
      <c r="I133" s="34">
        <f>IF(H133&gt;0,ROUND(E133/H133*100,1),0)</f>
        <v>133.80000000000001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4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1398890.6780000001</v>
      </c>
      <c r="F135" s="18"/>
      <c r="G135" s="18">
        <f t="shared" si="14"/>
        <v>1398890.6780000001</v>
      </c>
      <c r="H135" s="18">
        <v>830731.82299999997</v>
      </c>
      <c r="I135" s="18">
        <f t="shared" ref="I135:I143" si="15">IF(H135&gt;0,ROUND(E135/H135*100,1),0)</f>
        <v>168.4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45.469000000000001</v>
      </c>
      <c r="F136" s="18"/>
      <c r="G136" s="18">
        <f t="shared" si="14"/>
        <v>45.469000000000001</v>
      </c>
      <c r="H136" s="18">
        <v>344.52699999999999</v>
      </c>
      <c r="I136" s="18">
        <f t="shared" si="15"/>
        <v>13.2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v>1075652.804</v>
      </c>
      <c r="F137" s="18"/>
      <c r="G137" s="18">
        <f t="shared" si="14"/>
        <v>1075652.804</v>
      </c>
      <c r="H137" s="18">
        <v>811786.67500000005</v>
      </c>
      <c r="I137" s="18">
        <f t="shared" si="15"/>
        <v>132.5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4"/>
        <v>0</v>
      </c>
      <c r="H138" s="18"/>
      <c r="I138" s="18">
        <f t="shared" si="15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v>447824.81099999999</v>
      </c>
      <c r="F139" s="18"/>
      <c r="G139" s="81">
        <f t="shared" si="14"/>
        <v>447824.81099999999</v>
      </c>
      <c r="H139" s="81">
        <v>220832.59700000001</v>
      </c>
      <c r="I139" s="18">
        <f t="shared" si="15"/>
        <v>202.8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4"/>
        <v>0</v>
      </c>
      <c r="H140" s="18"/>
      <c r="I140" s="18">
        <f t="shared" si="15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174135.128</v>
      </c>
      <c r="F141" s="18"/>
      <c r="G141" s="18">
        <f t="shared" si="14"/>
        <v>174135.128</v>
      </c>
      <c r="H141" s="18">
        <v>110504.173</v>
      </c>
      <c r="I141" s="18">
        <f t="shared" si="15"/>
        <v>157.6</v>
      </c>
      <c r="K141" t="s">
        <v>170</v>
      </c>
      <c r="L141" t="s">
        <v>170</v>
      </c>
      <c r="M141" t="s">
        <v>182</v>
      </c>
    </row>
    <row r="142" spans="1:13" ht="15.75">
      <c r="A142" s="34"/>
      <c r="B142" s="228" t="s">
        <v>183</v>
      </c>
      <c r="C142" s="18" t="s">
        <v>37</v>
      </c>
      <c r="D142" s="18"/>
      <c r="E142" s="18">
        <v>266149.62599999999</v>
      </c>
      <c r="F142" s="18"/>
      <c r="G142" s="18">
        <f t="shared" si="14"/>
        <v>266149.62599999999</v>
      </c>
      <c r="H142" s="18">
        <v>102149.11</v>
      </c>
      <c r="I142" s="18">
        <f t="shared" si="15"/>
        <v>260.60000000000002</v>
      </c>
      <c r="K142" t="s">
        <v>170</v>
      </c>
      <c r="L142" t="s">
        <v>170</v>
      </c>
      <c r="M142" t="s">
        <v>184</v>
      </c>
    </row>
    <row r="143" spans="1:13" ht="15.75">
      <c r="A143" s="34"/>
      <c r="B143" s="237" t="s">
        <v>185</v>
      </c>
      <c r="C143" s="18" t="s">
        <v>37</v>
      </c>
      <c r="D143" s="18"/>
      <c r="E143" s="18">
        <v>13681.132</v>
      </c>
      <c r="F143" s="18"/>
      <c r="G143" s="18">
        <f>E143-D143</f>
        <v>13681.132</v>
      </c>
      <c r="H143" s="18">
        <v>6661.2759999999998</v>
      </c>
      <c r="I143" s="18">
        <f t="shared" si="15"/>
        <v>205.4</v>
      </c>
      <c r="K143" t="s">
        <v>170</v>
      </c>
      <c r="L143" t="s">
        <v>170</v>
      </c>
      <c r="M143" t="s">
        <v>186</v>
      </c>
    </row>
    <row r="144" spans="1:13" ht="18" customHeight="1">
      <c r="A144" s="34"/>
      <c r="B144" s="34" t="s">
        <v>163</v>
      </c>
      <c r="C144" s="18" t="s">
        <v>37</v>
      </c>
      <c r="D144" s="18"/>
      <c r="E144" s="18"/>
      <c r="F144" s="18"/>
      <c r="G144" s="18">
        <f t="shared" si="14"/>
        <v>0</v>
      </c>
      <c r="H144" s="18"/>
      <c r="I144" s="18"/>
      <c r="K144" t="s">
        <v>170</v>
      </c>
      <c r="L144" t="s">
        <v>170</v>
      </c>
    </row>
    <row r="145" spans="1:12" ht="15.75">
      <c r="A145" s="34"/>
      <c r="B145" s="224" t="s">
        <v>187</v>
      </c>
      <c r="C145" s="18" t="s">
        <v>37</v>
      </c>
      <c r="D145" s="18"/>
      <c r="E145" s="18"/>
      <c r="F145" s="18"/>
      <c r="G145" s="18">
        <f t="shared" si="14"/>
        <v>0</v>
      </c>
      <c r="H145" s="18"/>
      <c r="I145" s="18">
        <f>IF(H145&gt;0,ROUND(E145/H145*100,1),0)</f>
        <v>0</v>
      </c>
      <c r="K145" t="s">
        <v>170</v>
      </c>
    </row>
    <row r="146" spans="1:12" ht="18.75" hidden="1" customHeight="1" outlineLevel="1">
      <c r="A146" s="34" t="s">
        <v>188</v>
      </c>
      <c r="B146" s="220" t="s">
        <v>189</v>
      </c>
      <c r="C146" s="18" t="s">
        <v>37</v>
      </c>
      <c r="D146" s="18"/>
      <c r="E146" s="18"/>
      <c r="F146" s="18"/>
      <c r="G146" s="18">
        <f>E146-D146</f>
        <v>0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34">
        <v>30</v>
      </c>
      <c r="B147" s="220" t="s">
        <v>190</v>
      </c>
      <c r="C147" s="18" t="s">
        <v>37</v>
      </c>
      <c r="D147" s="18">
        <v>405597.4</v>
      </c>
      <c r="E147" s="18">
        <v>507994.01899999997</v>
      </c>
      <c r="F147" s="18">
        <f t="shared" ref="F147:F151" si="16">ROUND(E147/D147*100,1)</f>
        <v>125.2</v>
      </c>
      <c r="G147" s="18">
        <f>E147-D147</f>
        <v>102396.61899999995</v>
      </c>
      <c r="H147" s="18">
        <v>471809.50799999997</v>
      </c>
      <c r="I147" s="18">
        <f>ROUND(E147/H147*100,1)</f>
        <v>107.7</v>
      </c>
      <c r="K147" t="s">
        <v>170</v>
      </c>
      <c r="L147" t="s">
        <v>191</v>
      </c>
    </row>
    <row r="148" spans="1:12" ht="15.75" hidden="1" outlineLevel="1">
      <c r="A148" s="34"/>
      <c r="B148" s="34" t="s">
        <v>12</v>
      </c>
      <c r="C148" s="18" t="s">
        <v>37</v>
      </c>
      <c r="D148" s="18"/>
      <c r="E148" s="18"/>
      <c r="F148" s="18" t="e">
        <f t="shared" si="16"/>
        <v>#DIV/0!</v>
      </c>
      <c r="G148" s="18">
        <f t="shared" si="14"/>
        <v>0</v>
      </c>
      <c r="H148" s="18"/>
      <c r="I148" s="18"/>
      <c r="K148" t="s">
        <v>170</v>
      </c>
    </row>
    <row r="149" spans="1:12" ht="15.75" hidden="1" outlineLevel="1">
      <c r="A149" s="34"/>
      <c r="B149" s="220" t="s">
        <v>192</v>
      </c>
      <c r="C149" s="18" t="s">
        <v>37</v>
      </c>
      <c r="D149" s="18"/>
      <c r="E149" s="18"/>
      <c r="F149" s="18" t="e">
        <f t="shared" si="16"/>
        <v>#DIV/0!</v>
      </c>
      <c r="G149" s="18">
        <f t="shared" si="14"/>
        <v>0</v>
      </c>
      <c r="H149" s="18"/>
      <c r="I149" s="18"/>
      <c r="K149" t="s">
        <v>170</v>
      </c>
    </row>
    <row r="150" spans="1:12" ht="15.75" hidden="1" outlineLevel="1">
      <c r="A150" s="34"/>
      <c r="B150" s="220" t="s">
        <v>193</v>
      </c>
      <c r="C150" s="18" t="s">
        <v>37</v>
      </c>
      <c r="D150" s="18"/>
      <c r="E150" s="18"/>
      <c r="F150" s="18" t="e">
        <f t="shared" si="16"/>
        <v>#DIV/0!</v>
      </c>
      <c r="G150" s="18">
        <f t="shared" si="14"/>
        <v>0</v>
      </c>
      <c r="H150" s="18"/>
      <c r="I150" s="18" t="e">
        <f>ROUND(E150/H150*100,1)</f>
        <v>#DIV/0!</v>
      </c>
      <c r="K150" t="s">
        <v>170</v>
      </c>
    </row>
    <row r="151" spans="1:12" ht="15.75" collapsed="1">
      <c r="A151" s="34">
        <v>31</v>
      </c>
      <c r="B151" s="220" t="s">
        <v>194</v>
      </c>
      <c r="C151" s="18" t="s">
        <v>37</v>
      </c>
      <c r="D151" s="18">
        <v>324990.90000000002</v>
      </c>
      <c r="E151" s="18">
        <v>405698.9</v>
      </c>
      <c r="F151" s="18">
        <f t="shared" si="16"/>
        <v>124.8</v>
      </c>
      <c r="G151" s="18">
        <f t="shared" si="14"/>
        <v>80708</v>
      </c>
      <c r="H151" s="18">
        <v>329358.24</v>
      </c>
      <c r="I151" s="18">
        <f>ROUND(E151/H151*100,1)</f>
        <v>123.2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34">
        <f>'1-полугод 2023 г. без.сп.над '!E152</f>
        <v>0</v>
      </c>
      <c r="F152" s="40"/>
      <c r="G152" s="40"/>
      <c r="H152" s="41"/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34">
        <f>'1-полугод 2023 г. без.сп.над '!E153</f>
        <v>0</v>
      </c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34">
        <f>'1-полугод 2023 г. без.сп.над '!E154</f>
        <v>0</v>
      </c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34">
        <f>'1-полугод 2023 г. без.сп.над '!E155</f>
        <v>0</v>
      </c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34">
        <f>'1-полугод 2023 г. без.сп.над '!E156</f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34">
        <f>'1-полугод 2023 г. без.сп.над '!E157</f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34">
        <f>'1-полугод 2023 г. без.сп.над '!E158</f>
        <v>0</v>
      </c>
      <c r="F158" s="40"/>
      <c r="G158" s="40"/>
      <c r="H158" s="41"/>
      <c r="I158" s="40" t="e">
        <f>ROUND(E158/H158*100,1)</f>
        <v>#DIV/0!</v>
      </c>
    </row>
    <row r="159" spans="1:12" ht="48.75" customHeight="1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'[4]2019'!$G$164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'[5]2019'!B168</f>
        <v>Начальник ОЭАиП</v>
      </c>
      <c r="C166" s="46"/>
      <c r="D166" s="46"/>
      <c r="E166" s="46"/>
      <c r="F166" s="48"/>
      <c r="G166" s="46" t="s">
        <v>251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B169" s="207" t="s">
        <v>243</v>
      </c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O170"/>
  <sheetViews>
    <sheetView showZeros="0" view="pageBreakPreview" zoomScale="90" zoomScaleNormal="100" zoomScaleSheetLayoutView="90" workbookViewId="0">
      <pane ySplit="3" topLeftCell="A62" activePane="bottomLeft" state="frozen"/>
      <selection activeCell="S5" sqref="S5"/>
      <selection pane="bottomLeft" activeCell="D118" sqref="D118"/>
    </sheetView>
  </sheetViews>
  <sheetFormatPr defaultRowHeight="12.75" outlineLevelRow="2" outlineLevelCol="1"/>
  <cols>
    <col min="1" max="1" width="3.8554687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4" width="9.140625" hidden="1" customWidth="1" outlineLevel="1"/>
    <col min="15" max="15" width="9.140625" collapsed="1"/>
  </cols>
  <sheetData>
    <row r="1" spans="1:10" ht="48" customHeight="1">
      <c r="A1" s="282" t="s">
        <v>232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234</v>
      </c>
      <c r="E2" s="289"/>
      <c r="F2" s="289"/>
      <c r="G2" s="289"/>
      <c r="H2" s="290" t="s">
        <v>233</v>
      </c>
      <c r="I2" s="288" t="s">
        <v>3</v>
      </c>
    </row>
    <row r="3" spans="1:10" ht="22.5" customHeight="1">
      <c r="A3" s="286"/>
      <c r="B3" s="287"/>
      <c r="C3" s="287"/>
      <c r="D3" s="180" t="s">
        <v>4</v>
      </c>
      <c r="E3" s="179" t="s">
        <v>5</v>
      </c>
      <c r="F3" s="179" t="s">
        <v>6</v>
      </c>
      <c r="G3" s="179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2" t="s">
        <v>9</v>
      </c>
      <c r="B5" s="3" t="s">
        <v>10</v>
      </c>
      <c r="C5" s="182" t="s">
        <v>11</v>
      </c>
      <c r="D5" s="5">
        <f>D7+D8+D9</f>
        <v>2143.665</v>
      </c>
      <c r="E5" s="174">
        <f>E7+E8+E9</f>
        <v>2151.7069999999999</v>
      </c>
      <c r="F5" s="5">
        <f>ROUND(E5/D5*100,1)</f>
        <v>100.4</v>
      </c>
      <c r="G5" s="5">
        <f>E5-D5</f>
        <v>8.0419999999999163</v>
      </c>
      <c r="H5" s="6">
        <f>H7+H8+H9</f>
        <v>1399.912</v>
      </c>
      <c r="I5" s="6">
        <f>IF(H5&gt;0,ROUND(E5/H5*100,1),0)</f>
        <v>153.69999999999999</v>
      </c>
    </row>
    <row r="6" spans="1:10" ht="15.75" customHeight="1">
      <c r="A6" s="2"/>
      <c r="B6" s="2" t="s">
        <v>12</v>
      </c>
      <c r="C6" s="2"/>
      <c r="D6" s="34"/>
      <c r="E6" s="34"/>
      <c r="F6" s="34"/>
      <c r="G6" s="34"/>
      <c r="H6" s="18"/>
      <c r="I6" s="7"/>
    </row>
    <row r="7" spans="1:10" ht="15.75">
      <c r="A7" s="2"/>
      <c r="B7" s="8" t="s">
        <v>13</v>
      </c>
      <c r="C7" s="2" t="s">
        <v>11</v>
      </c>
      <c r="D7" s="175">
        <v>1787.22</v>
      </c>
      <c r="E7" s="175">
        <v>1817.6410000000001</v>
      </c>
      <c r="F7" s="34">
        <f>ROUND(E7/D7*100,1)</f>
        <v>101.7</v>
      </c>
      <c r="G7" s="175">
        <f>E7-D7</f>
        <v>30.421000000000049</v>
      </c>
      <c r="H7" s="175">
        <v>1237.278</v>
      </c>
      <c r="I7" s="9">
        <f>IF(H7&gt;0,ROUND(E7/H7*100,1),0)</f>
        <v>146.9</v>
      </c>
    </row>
    <row r="8" spans="1:10" ht="15.75">
      <c r="A8" s="2"/>
      <c r="B8" s="8" t="s">
        <v>14</v>
      </c>
      <c r="C8" s="2" t="s">
        <v>11</v>
      </c>
      <c r="D8" s="175">
        <v>31.02</v>
      </c>
      <c r="E8" s="175">
        <v>31.773</v>
      </c>
      <c r="F8" s="34">
        <f>ROUND(E8/D8*100,1)</f>
        <v>102.4</v>
      </c>
      <c r="G8" s="175">
        <f>E8-D8</f>
        <v>0.75300000000000011</v>
      </c>
      <c r="H8" s="175">
        <v>32.941000000000003</v>
      </c>
      <c r="I8" s="9">
        <f>IF(H8&gt;0,ROUND(E8/H8*100,1),0)</f>
        <v>96.5</v>
      </c>
    </row>
    <row r="9" spans="1:10" ht="15.75">
      <c r="A9" s="2"/>
      <c r="B9" s="8" t="s">
        <v>15</v>
      </c>
      <c r="C9" s="2" t="s">
        <v>11</v>
      </c>
      <c r="D9" s="175">
        <v>325.42500000000001</v>
      </c>
      <c r="E9" s="175">
        <v>302.29300000000001</v>
      </c>
      <c r="F9" s="34">
        <f>ROUND(E9/D9*100,1)</f>
        <v>92.9</v>
      </c>
      <c r="G9" s="175">
        <f>E9-D9</f>
        <v>-23.132000000000005</v>
      </c>
      <c r="H9" s="175">
        <v>129.69300000000001</v>
      </c>
      <c r="I9" s="9">
        <f>IF(H9&gt;0,ROUND(E9/H9*100,1),0)</f>
        <v>233.1</v>
      </c>
    </row>
    <row r="10" spans="1:10" ht="15.75">
      <c r="A10" s="2" t="s">
        <v>16</v>
      </c>
      <c r="B10" s="3" t="s">
        <v>17</v>
      </c>
      <c r="C10" s="181" t="s">
        <v>11</v>
      </c>
      <c r="D10" s="6">
        <f>D12+D13</f>
        <v>147.90699999999998</v>
      </c>
      <c r="E10" s="6">
        <f>E12+E13</f>
        <v>124.238</v>
      </c>
      <c r="F10" s="5">
        <f>ROUND(E10/D10*100,1)</f>
        <v>84</v>
      </c>
      <c r="G10" s="174">
        <f>E10-D10</f>
        <v>-23.668999999999983</v>
      </c>
      <c r="H10" s="176">
        <f>H12+H13</f>
        <v>105.946</v>
      </c>
      <c r="I10" s="10"/>
    </row>
    <row r="11" spans="1:10" ht="17.25" customHeight="1">
      <c r="A11" s="2"/>
      <c r="B11" s="2" t="s">
        <v>12</v>
      </c>
      <c r="C11" s="2"/>
      <c r="D11" s="34"/>
      <c r="E11" s="34"/>
      <c r="F11" s="34"/>
      <c r="G11" s="34"/>
      <c r="H11" s="18"/>
      <c r="I11" s="7"/>
    </row>
    <row r="12" spans="1:10" ht="15.75">
      <c r="A12" s="2"/>
      <c r="B12" s="8" t="s">
        <v>18</v>
      </c>
      <c r="C12" s="2" t="s">
        <v>11</v>
      </c>
      <c r="D12" s="34">
        <v>83.328999999999994</v>
      </c>
      <c r="E12" s="34">
        <v>82.712999999999994</v>
      </c>
      <c r="F12" s="34">
        <f>ROUND(E12/D12*100,1)</f>
        <v>99.3</v>
      </c>
      <c r="G12" s="34">
        <f>E12-D12</f>
        <v>-0.61599999999999966</v>
      </c>
      <c r="H12" s="34">
        <v>66.91</v>
      </c>
      <c r="I12" s="9">
        <f t="shared" ref="I12:I13" si="0">IF(H12&gt;0,ROUND(E12/H12*100,1),0)</f>
        <v>123.6</v>
      </c>
    </row>
    <row r="13" spans="1:10" ht="15.75">
      <c r="A13" s="2"/>
      <c r="B13" s="8" t="s">
        <v>19</v>
      </c>
      <c r="C13" s="2" t="s">
        <v>11</v>
      </c>
      <c r="D13" s="34">
        <v>64.578000000000003</v>
      </c>
      <c r="E13" s="34">
        <v>41.524999999999999</v>
      </c>
      <c r="F13" s="34">
        <f>ROUND(E13/D13*100,1)</f>
        <v>64.3</v>
      </c>
      <c r="G13" s="34">
        <f>E13-D13</f>
        <v>-23.053000000000004</v>
      </c>
      <c r="H13" s="34">
        <v>39.036000000000001</v>
      </c>
      <c r="I13" s="9">
        <f t="shared" si="0"/>
        <v>106.4</v>
      </c>
    </row>
    <row r="14" spans="1:10" ht="15.75">
      <c r="A14" s="2" t="s">
        <v>20</v>
      </c>
      <c r="B14" s="3" t="s">
        <v>21</v>
      </c>
      <c r="C14" s="182" t="s">
        <v>11</v>
      </c>
      <c r="D14" s="174">
        <f>D16+D17+D18</f>
        <v>2316.047</v>
      </c>
      <c r="E14" s="174">
        <f>E16+E17+E18</f>
        <v>2487.3209999999999</v>
      </c>
      <c r="F14" s="5">
        <f>ROUND(E14/D14*100,1)</f>
        <v>107.4</v>
      </c>
      <c r="G14" s="5">
        <f>E14-D14</f>
        <v>171.27399999999989</v>
      </c>
      <c r="H14" s="6">
        <f>H16+H17+H18</f>
        <v>1582.635</v>
      </c>
      <c r="I14" s="10">
        <f>IF(H14&gt;0,ROUND(E14/H14*100,1),0)</f>
        <v>157.19999999999999</v>
      </c>
      <c r="J14" t="s">
        <v>22</v>
      </c>
    </row>
    <row r="15" spans="1:10" ht="18" customHeight="1">
      <c r="A15" s="2"/>
      <c r="B15" s="2" t="s">
        <v>12</v>
      </c>
      <c r="C15" s="2"/>
      <c r="D15" s="175"/>
      <c r="E15" s="175"/>
      <c r="F15" s="34"/>
      <c r="G15" s="34"/>
      <c r="H15" s="18"/>
      <c r="I15" s="7"/>
    </row>
    <row r="16" spans="1:10" ht="15.75">
      <c r="A16" s="2"/>
      <c r="B16" s="8" t="s">
        <v>13</v>
      </c>
      <c r="C16" s="2" t="s">
        <v>11</v>
      </c>
      <c r="D16" s="175">
        <v>1954.6890000000001</v>
      </c>
      <c r="E16" s="175">
        <v>2148.9079999999999</v>
      </c>
      <c r="F16" s="34">
        <f>ROUND(E16/D16*100,1)</f>
        <v>109.9</v>
      </c>
      <c r="G16" s="34">
        <f>E16-D16</f>
        <v>194.21899999999982</v>
      </c>
      <c r="H16" s="34">
        <v>1441.4380000000001</v>
      </c>
      <c r="I16" s="9">
        <f>IF(H16&gt;0,ROUND(E16/H16*100,1),0)</f>
        <v>149.1</v>
      </c>
      <c r="J16" t="s">
        <v>22</v>
      </c>
    </row>
    <row r="17" spans="1:12" ht="15.75">
      <c r="A17" s="2"/>
      <c r="B17" s="8" t="s">
        <v>14</v>
      </c>
      <c r="C17" s="2" t="s">
        <v>11</v>
      </c>
      <c r="D17" s="175">
        <v>31.155000000000001</v>
      </c>
      <c r="E17" s="175">
        <v>31.878</v>
      </c>
      <c r="F17" s="34">
        <f>ROUND(E17/D17*100,1)</f>
        <v>102.3</v>
      </c>
      <c r="G17" s="34">
        <f>E17-D17</f>
        <v>0.72299999999999898</v>
      </c>
      <c r="H17" s="34">
        <v>29.193000000000001</v>
      </c>
      <c r="I17" s="9">
        <f>IF(H17&gt;0,ROUND(E17/H17*100,1),0)</f>
        <v>109.2</v>
      </c>
      <c r="J17" t="s">
        <v>22</v>
      </c>
    </row>
    <row r="18" spans="1:12" ht="15.75">
      <c r="A18" s="2"/>
      <c r="B18" s="8" t="s">
        <v>15</v>
      </c>
      <c r="C18" s="2" t="s">
        <v>11</v>
      </c>
      <c r="D18" s="175">
        <v>330.20299999999997</v>
      </c>
      <c r="E18" s="175">
        <v>306.53500000000003</v>
      </c>
      <c r="F18" s="34">
        <f>ROUND(E18/D18*100,1)</f>
        <v>92.8</v>
      </c>
      <c r="G18" s="34">
        <f>E18-D18</f>
        <v>-23.66799999999995</v>
      </c>
      <c r="H18" s="18">
        <v>112.004</v>
      </c>
      <c r="I18" s="9">
        <f>IF(H18&gt;0,ROUND(E18/H18*100,1),0)</f>
        <v>273.7</v>
      </c>
    </row>
    <row r="19" spans="1:12" ht="18.75">
      <c r="A19" s="2" t="s">
        <v>23</v>
      </c>
      <c r="B19" s="3" t="s">
        <v>24</v>
      </c>
      <c r="C19" s="182" t="s">
        <v>25</v>
      </c>
      <c r="D19" s="5">
        <f>D21+D22+D23+D24</f>
        <v>15074.5</v>
      </c>
      <c r="E19" s="5">
        <f>E21+E22+E23+E24</f>
        <v>14961.537</v>
      </c>
      <c r="F19" s="5">
        <f>ROUND(E19/D19*100,1)</f>
        <v>99.3</v>
      </c>
      <c r="G19" s="5">
        <f>E19-D19</f>
        <v>-112.96299999999974</v>
      </c>
      <c r="H19" s="6">
        <f>H21+H22+H23+H24</f>
        <v>10277.981</v>
      </c>
      <c r="I19" s="10">
        <f>IF(H19&gt;0,ROUND(E19/H19*100,1),0)</f>
        <v>145.6</v>
      </c>
      <c r="J19" t="s">
        <v>22</v>
      </c>
    </row>
    <row r="20" spans="1:12" ht="15.75">
      <c r="A20" s="2"/>
      <c r="B20" s="3" t="s">
        <v>26</v>
      </c>
      <c r="C20" s="2"/>
      <c r="D20" s="34"/>
      <c r="E20" s="34"/>
      <c r="F20" s="34"/>
      <c r="G20" s="34"/>
      <c r="H20" s="18"/>
      <c r="I20" s="7"/>
      <c r="L20" s="11"/>
    </row>
    <row r="21" spans="1:12" ht="18.75">
      <c r="A21" s="2"/>
      <c r="B21" s="8" t="s">
        <v>27</v>
      </c>
      <c r="C21" s="2" t="s">
        <v>28</v>
      </c>
      <c r="D21" s="34">
        <v>4043</v>
      </c>
      <c r="E21" s="34">
        <v>3931.77</v>
      </c>
      <c r="F21" s="34">
        <f>ROUND(E21/D21*100,1)</f>
        <v>97.2</v>
      </c>
      <c r="G21" s="34">
        <f t="shared" ref="G21:G31" si="1">E21-D21</f>
        <v>-111.23000000000002</v>
      </c>
      <c r="H21" s="34">
        <v>3707.9639999999999</v>
      </c>
      <c r="I21" s="9">
        <f t="shared" ref="I21:I28" si="2">IF(H21&gt;0,ROUND(E21/H21*100,1),0)</f>
        <v>106</v>
      </c>
      <c r="J21" t="s">
        <v>22</v>
      </c>
    </row>
    <row r="22" spans="1:12" ht="18.75">
      <c r="A22" s="2"/>
      <c r="B22" s="8" t="s">
        <v>29</v>
      </c>
      <c r="C22" s="2" t="s">
        <v>28</v>
      </c>
      <c r="D22" s="34">
        <v>11031.5</v>
      </c>
      <c r="E22" s="34">
        <v>11029.767</v>
      </c>
      <c r="F22" s="34">
        <f>ROUND(E22/D22*100,1)</f>
        <v>100</v>
      </c>
      <c r="G22" s="34">
        <f t="shared" si="1"/>
        <v>-1.7330000000001746</v>
      </c>
      <c r="H22" s="34">
        <v>6460.5569999999998</v>
      </c>
      <c r="I22" s="9">
        <f t="shared" si="2"/>
        <v>170.7</v>
      </c>
      <c r="J22" t="s">
        <v>22</v>
      </c>
    </row>
    <row r="23" spans="1:12" ht="18.75" hidden="1" outlineLevel="1">
      <c r="A23" s="2"/>
      <c r="B23" s="8" t="s">
        <v>30</v>
      </c>
      <c r="C23" s="2" t="s">
        <v>28</v>
      </c>
      <c r="D23" s="34"/>
      <c r="E23" s="34"/>
      <c r="F23" s="34"/>
      <c r="G23" s="34">
        <f t="shared" si="1"/>
        <v>0</v>
      </c>
      <c r="H23" s="34"/>
      <c r="I23" s="9">
        <f t="shared" si="2"/>
        <v>0</v>
      </c>
      <c r="J23" t="s">
        <v>22</v>
      </c>
    </row>
    <row r="24" spans="1:12" ht="18.75" collapsed="1">
      <c r="A24" s="2"/>
      <c r="B24" s="8" t="s">
        <v>31</v>
      </c>
      <c r="C24" s="2" t="s">
        <v>28</v>
      </c>
      <c r="D24" s="177">
        <v>0</v>
      </c>
      <c r="E24" s="177">
        <v>0</v>
      </c>
      <c r="F24" s="183">
        <f>E24</f>
        <v>0</v>
      </c>
      <c r="G24" s="183">
        <v>0</v>
      </c>
      <c r="H24" s="34">
        <v>109.46</v>
      </c>
      <c r="I24" s="184">
        <v>0</v>
      </c>
      <c r="J24" t="s">
        <v>22</v>
      </c>
    </row>
    <row r="25" spans="1:12" ht="15.75">
      <c r="A25" s="2" t="s">
        <v>32</v>
      </c>
      <c r="B25" s="12" t="s">
        <v>33</v>
      </c>
      <c r="C25" s="13" t="s">
        <v>34</v>
      </c>
      <c r="D25" s="18">
        <v>556</v>
      </c>
      <c r="E25" s="18">
        <v>736</v>
      </c>
      <c r="F25" s="18">
        <f t="shared" ref="F25:F29" si="3">ROUND(E25/D25*100,1)</f>
        <v>132.4</v>
      </c>
      <c r="G25" s="18">
        <f t="shared" si="1"/>
        <v>180</v>
      </c>
      <c r="H25" s="18">
        <v>734.1</v>
      </c>
      <c r="I25" s="9">
        <f t="shared" si="2"/>
        <v>100.3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18">
        <v>389302.50400000002</v>
      </c>
      <c r="E26" s="18">
        <v>391567.23599999998</v>
      </c>
      <c r="F26" s="18">
        <f t="shared" si="3"/>
        <v>100.6</v>
      </c>
      <c r="G26" s="18">
        <f t="shared" si="1"/>
        <v>2264.73199999996</v>
      </c>
      <c r="H26" s="18">
        <v>257894.489</v>
      </c>
      <c r="I26" s="18">
        <f t="shared" si="2"/>
        <v>151.80000000000001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231</v>
      </c>
      <c r="C27" s="17" t="s">
        <v>37</v>
      </c>
      <c r="D27" s="18">
        <v>185.76400000000001</v>
      </c>
      <c r="E27" s="18">
        <v>147.72300000000001</v>
      </c>
      <c r="F27" s="18">
        <f t="shared" si="3"/>
        <v>79.5</v>
      </c>
      <c r="G27" s="18">
        <f>E27-D27</f>
        <v>-38.040999999999997</v>
      </c>
      <c r="H27" s="18">
        <v>107.95099999999999</v>
      </c>
      <c r="I27" s="18">
        <f t="shared" si="2"/>
        <v>136.80000000000001</v>
      </c>
      <c r="J27" t="s">
        <v>22</v>
      </c>
      <c r="K27"/>
    </row>
    <row r="28" spans="1:12" ht="31.5">
      <c r="A28" s="2" t="s">
        <v>39</v>
      </c>
      <c r="B28" s="12" t="s">
        <v>40</v>
      </c>
      <c r="C28" s="17" t="s">
        <v>37</v>
      </c>
      <c r="D28" s="18">
        <v>27094.6</v>
      </c>
      <c r="E28" s="18">
        <v>27127.375</v>
      </c>
      <c r="F28" s="18">
        <f t="shared" si="3"/>
        <v>100.1</v>
      </c>
      <c r="G28" s="18">
        <f t="shared" si="1"/>
        <v>32.775000000001455</v>
      </c>
      <c r="H28" s="18">
        <v>16.829999999999998</v>
      </c>
      <c r="I28" s="9">
        <f t="shared" si="2"/>
        <v>161184.6</v>
      </c>
      <c r="J28" t="s">
        <v>22</v>
      </c>
    </row>
    <row r="29" spans="1:12" ht="19.5" customHeight="1">
      <c r="A29" s="13" t="s">
        <v>41</v>
      </c>
      <c r="B29" s="21" t="s">
        <v>42</v>
      </c>
      <c r="C29" s="17" t="s">
        <v>37</v>
      </c>
      <c r="D29" s="18">
        <v>3274.4</v>
      </c>
      <c r="E29" s="18">
        <v>3197.2</v>
      </c>
      <c r="F29" s="18">
        <f t="shared" si="3"/>
        <v>97.6</v>
      </c>
      <c r="G29" s="18">
        <f t="shared" si="1"/>
        <v>-77.200000000000273</v>
      </c>
      <c r="H29" s="18">
        <v>2978.6</v>
      </c>
      <c r="I29" s="9">
        <f>IF(H29&gt;0,ROUND(E29/H29*100,1),0)</f>
        <v>107.3</v>
      </c>
      <c r="J29" t="s">
        <v>22</v>
      </c>
    </row>
    <row r="30" spans="1:12" ht="21.75" customHeight="1">
      <c r="A30" s="291" t="s">
        <v>43</v>
      </c>
      <c r="B30" s="292"/>
      <c r="C30" s="292"/>
      <c r="D30" s="292"/>
      <c r="E30" s="292"/>
      <c r="F30" s="292"/>
      <c r="G30" s="292"/>
      <c r="H30" s="292"/>
      <c r="I30" s="292"/>
    </row>
    <row r="31" spans="1:12" ht="32.25" hidden="1" customHeight="1" outlineLevel="1">
      <c r="A31" s="13" t="s">
        <v>44</v>
      </c>
      <c r="B31" s="17" t="s">
        <v>45</v>
      </c>
      <c r="C31" s="17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2" t="s">
        <v>47</v>
      </c>
      <c r="B32" s="12" t="s">
        <v>48</v>
      </c>
      <c r="C32" s="17" t="s">
        <v>37</v>
      </c>
      <c r="D32" s="23" t="e">
        <f>#REF!</f>
        <v>#REF!</v>
      </c>
      <c r="E32" s="23" t="e">
        <f>#REF!</f>
        <v>#REF!</v>
      </c>
      <c r="F32" s="23"/>
      <c r="G32" s="25"/>
      <c r="H32" s="18"/>
      <c r="I32" s="18">
        <f>IF(H32&gt;0,ROUND(E32/H32*100,1),0)</f>
        <v>0</v>
      </c>
    </row>
    <row r="33" spans="1:10" ht="15.75">
      <c r="A33" s="2" t="s">
        <v>49</v>
      </c>
      <c r="B33" s="3" t="s">
        <v>50</v>
      </c>
      <c r="C33" s="17" t="s">
        <v>37</v>
      </c>
      <c r="D33" s="23" t="e">
        <f>#REF!</f>
        <v>#REF!</v>
      </c>
      <c r="E33" s="26" t="e">
        <f>#REF!</f>
        <v>#REF!</v>
      </c>
      <c r="F33" s="26"/>
      <c r="G33" s="26" t="e">
        <f t="shared" ref="G33:G39" si="4">E33-D33</f>
        <v>#REF!</v>
      </c>
      <c r="H33" s="26" t="e">
        <f>#REF!</f>
        <v>#REF!</v>
      </c>
      <c r="I33" s="26" t="e">
        <f>#REF!</f>
        <v>#REF!</v>
      </c>
      <c r="J33" t="s">
        <v>51</v>
      </c>
    </row>
    <row r="34" spans="1:10" ht="15.75">
      <c r="A34" s="15"/>
      <c r="B34" s="16" t="s">
        <v>52</v>
      </c>
      <c r="C34" s="17" t="s">
        <v>37</v>
      </c>
      <c r="D34" s="23" t="e">
        <f>#REF!</f>
        <v>#REF!</v>
      </c>
      <c r="E34" s="27" t="e">
        <f>#REF!</f>
        <v>#REF!</v>
      </c>
      <c r="F34" s="27" t="e">
        <f>#REF!</f>
        <v>#REF!</v>
      </c>
      <c r="G34" s="27" t="e">
        <f>#REF!</f>
        <v>#REF!</v>
      </c>
      <c r="H34" s="28"/>
      <c r="I34" s="28" t="e">
        <f>#REF!</f>
        <v>#REF!</v>
      </c>
    </row>
    <row r="35" spans="1:10" ht="15.75">
      <c r="A35" s="15"/>
      <c r="B35" s="29" t="s">
        <v>53</v>
      </c>
      <c r="C35" s="17" t="s">
        <v>37</v>
      </c>
      <c r="D35" s="23" t="e">
        <f>#REF!</f>
        <v>#REF!</v>
      </c>
      <c r="E35" s="27" t="e">
        <f>#REF!</f>
        <v>#REF!</v>
      </c>
      <c r="F35" s="28" t="e">
        <f>#REF!</f>
        <v>#REF!</v>
      </c>
      <c r="G35" s="27" t="e">
        <f>#REF!</f>
        <v>#REF!</v>
      </c>
      <c r="H35" s="28">
        <f>H37+H38</f>
        <v>-116797</v>
      </c>
      <c r="I35" s="28" t="e">
        <f>#REF!</f>
        <v>#REF!</v>
      </c>
      <c r="J35" t="s">
        <v>51</v>
      </c>
    </row>
    <row r="36" spans="1:10" ht="15.75">
      <c r="A36" s="15"/>
      <c r="B36" s="29" t="s">
        <v>54</v>
      </c>
      <c r="C36" s="17" t="s">
        <v>37</v>
      </c>
      <c r="D36" s="23" t="e">
        <f>#REF!</f>
        <v>#REF!</v>
      </c>
      <c r="E36" s="28" t="e">
        <f>#REF!</f>
        <v>#REF!</v>
      </c>
      <c r="F36" s="28" t="e">
        <f>#REF!</f>
        <v>#REF!</v>
      </c>
      <c r="G36" s="27" t="e">
        <f>#REF!</f>
        <v>#REF!</v>
      </c>
      <c r="H36" s="28"/>
      <c r="I36" s="28" t="e">
        <f>#REF!</f>
        <v>#REF!</v>
      </c>
    </row>
    <row r="37" spans="1:10" ht="15.75">
      <c r="A37" s="15"/>
      <c r="B37" s="30" t="s">
        <v>55</v>
      </c>
      <c r="C37" s="17" t="s">
        <v>37</v>
      </c>
      <c r="D37" s="23" t="e">
        <f>#REF!</f>
        <v>#REF!</v>
      </c>
      <c r="E37" s="28" t="e">
        <f>#REF!</f>
        <v>#REF!</v>
      </c>
      <c r="F37" s="28" t="e">
        <f>#REF!</f>
        <v>#REF!</v>
      </c>
      <c r="G37" s="27" t="e">
        <f>#REF!</f>
        <v>#REF!</v>
      </c>
      <c r="H37" s="28">
        <v>-116797</v>
      </c>
      <c r="I37" s="28" t="e">
        <f>#REF!</f>
        <v>#REF!</v>
      </c>
    </row>
    <row r="38" spans="1:10" ht="15.75">
      <c r="A38" s="15"/>
      <c r="B38" s="30" t="s">
        <v>56</v>
      </c>
      <c r="C38" s="17" t="s">
        <v>37</v>
      </c>
      <c r="D38" s="23" t="e">
        <f>#REF!</f>
        <v>#REF!</v>
      </c>
      <c r="E38" s="28" t="e">
        <f>#REF!</f>
        <v>#REF!</v>
      </c>
      <c r="F38" s="28" t="e">
        <f>#REF!</f>
        <v>#REF!</v>
      </c>
      <c r="G38" s="27" t="e">
        <f>#REF!</f>
        <v>#REF!</v>
      </c>
      <c r="H38" s="28"/>
      <c r="I38" s="28" t="e">
        <f>#REF!</f>
        <v>#REF!</v>
      </c>
    </row>
    <row r="39" spans="1:10" ht="15.75">
      <c r="A39" s="15"/>
      <c r="B39" s="29" t="s">
        <v>57</v>
      </c>
      <c r="C39" s="17" t="s">
        <v>37</v>
      </c>
      <c r="D39" s="23" t="e">
        <f>#REF!</f>
        <v>#REF!</v>
      </c>
      <c r="E39" s="28" t="e">
        <f>#REF!</f>
        <v>#REF!</v>
      </c>
      <c r="F39" s="28"/>
      <c r="G39" s="27" t="e">
        <f t="shared" si="4"/>
        <v>#REF!</v>
      </c>
      <c r="H39" s="28">
        <v>73320.111000000004</v>
      </c>
      <c r="I39" s="28" t="e">
        <f>IF(H39&gt;0,ROUND(E39/H39*100,1),0)</f>
        <v>#REF!</v>
      </c>
      <c r="J39" t="s">
        <v>58</v>
      </c>
    </row>
    <row r="40" spans="1:10" ht="15.75">
      <c r="A40" s="15"/>
      <c r="B40" s="50" t="s">
        <v>59</v>
      </c>
      <c r="C40" s="17" t="s">
        <v>37</v>
      </c>
      <c r="D40" s="23" t="e">
        <f>#REF!</f>
        <v>#REF!</v>
      </c>
      <c r="E40" s="28" t="e">
        <f>#REF!</f>
        <v>#REF!</v>
      </c>
      <c r="F40" s="27" t="e">
        <f>#REF!</f>
        <v>#REF!</v>
      </c>
      <c r="G40" s="27" t="e">
        <f>#REF!</f>
        <v>#REF!</v>
      </c>
      <c r="H40" s="28" t="e">
        <f>#REF!</f>
        <v>#REF!</v>
      </c>
      <c r="I40" s="28" t="e">
        <f>#REF!</f>
        <v>#REF!</v>
      </c>
    </row>
    <row r="41" spans="1:10" ht="33.75" customHeight="1">
      <c r="A41" s="51"/>
      <c r="B41" s="50" t="s">
        <v>60</v>
      </c>
      <c r="C41" s="17" t="s">
        <v>37</v>
      </c>
      <c r="D41" s="23" t="e">
        <f>#REF!</f>
        <v>#REF!</v>
      </c>
      <c r="E41" s="28" t="e">
        <f>#REF!</f>
        <v>#REF!</v>
      </c>
      <c r="F41" s="28" t="e">
        <f>#REF!</f>
        <v>#REF!</v>
      </c>
      <c r="G41" s="28" t="e">
        <f>#REF!</f>
        <v>#REF!</v>
      </c>
      <c r="H41" s="28" t="e">
        <f>#REF!</f>
        <v>#REF!</v>
      </c>
      <c r="I41" s="28" t="e">
        <f>#REF!</f>
        <v>#REF!</v>
      </c>
      <c r="J41" t="s">
        <v>51</v>
      </c>
    </row>
    <row r="42" spans="1:10" ht="15.75" hidden="1" outlineLevel="1">
      <c r="A42" s="15"/>
      <c r="B42" s="29" t="s">
        <v>61</v>
      </c>
      <c r="C42" s="17" t="s">
        <v>37</v>
      </c>
      <c r="D42" s="23" t="e">
        <f>#REF!</f>
        <v>#REF!</v>
      </c>
      <c r="E42" s="18" t="e">
        <f>#REF!</f>
        <v>#REF!</v>
      </c>
      <c r="F42" s="23"/>
      <c r="G42" s="27"/>
      <c r="H42" s="18"/>
      <c r="I42" s="28" t="e">
        <f>#REF!</f>
        <v>#REF!</v>
      </c>
    </row>
    <row r="43" spans="1:10" ht="15.75" collapsed="1">
      <c r="A43" s="15"/>
      <c r="B43" s="50" t="s">
        <v>62</v>
      </c>
      <c r="C43" s="17" t="s">
        <v>37</v>
      </c>
      <c r="D43" s="23" t="e">
        <f>#REF!</f>
        <v>#REF!</v>
      </c>
      <c r="E43" s="18" t="e">
        <f>#REF!</f>
        <v>#REF!</v>
      </c>
      <c r="F43" s="18" t="e">
        <f>#REF!</f>
        <v>#REF!</v>
      </c>
      <c r="G43" s="18" t="e">
        <f>#REF!</f>
        <v>#REF!</v>
      </c>
      <c r="H43" s="18">
        <v>810605</v>
      </c>
      <c r="I43" s="28" t="e">
        <f>#REF!</f>
        <v>#REF!</v>
      </c>
    </row>
    <row r="44" spans="1:10" ht="15.75">
      <c r="A44" s="15"/>
      <c r="B44" s="50" t="s">
        <v>63</v>
      </c>
      <c r="C44" s="17" t="s">
        <v>37</v>
      </c>
      <c r="D44" s="23" t="e">
        <f>#REF!</f>
        <v>#REF!</v>
      </c>
      <c r="E44" s="18" t="e">
        <f>#REF!</f>
        <v>#REF!</v>
      </c>
      <c r="F44" s="18" t="e">
        <f>#REF!</f>
        <v>#REF!</v>
      </c>
      <c r="G44" s="18" t="e">
        <f>#REF!</f>
        <v>#REF!</v>
      </c>
      <c r="H44" s="18">
        <v>569599</v>
      </c>
      <c r="I44" s="28" t="e">
        <f>#REF!</f>
        <v>#REF!</v>
      </c>
    </row>
    <row r="45" spans="1:10" ht="15.75" customHeight="1">
      <c r="A45" s="15"/>
      <c r="B45" s="29" t="s">
        <v>64</v>
      </c>
      <c r="C45" s="17" t="s">
        <v>37</v>
      </c>
      <c r="D45" s="23" t="e">
        <f>#REF!</f>
        <v>#REF!</v>
      </c>
      <c r="E45" s="18" t="e">
        <f>#REF!</f>
        <v>#REF!</v>
      </c>
      <c r="F45" s="18" t="e">
        <f>#REF!</f>
        <v>#REF!</v>
      </c>
      <c r="G45" s="18" t="e">
        <f>#REF!</f>
        <v>#REF!</v>
      </c>
      <c r="H45" s="18">
        <v>89379</v>
      </c>
      <c r="I45" s="28" t="e">
        <f>#REF!</f>
        <v>#REF!</v>
      </c>
    </row>
    <row r="46" spans="1:10" ht="47.25" hidden="1" outlineLevel="1">
      <c r="A46" s="15"/>
      <c r="B46" s="16" t="s">
        <v>65</v>
      </c>
      <c r="C46" s="17" t="s">
        <v>37</v>
      </c>
      <c r="D46" s="23" t="e">
        <f>#REF!</f>
        <v>#REF!</v>
      </c>
      <c r="E46" s="23" t="e">
        <f>#REF!</f>
        <v>#REF!</v>
      </c>
      <c r="F46" s="23"/>
      <c r="G46" s="23" t="e">
        <f>E46-D46</f>
        <v>#REF!</v>
      </c>
      <c r="H46" s="23"/>
      <c r="I46" s="23">
        <f>IF(H46&gt;0,ROUND(E46/H46*100,1),0)</f>
        <v>0</v>
      </c>
    </row>
    <row r="47" spans="1:10" ht="15.75" collapsed="1">
      <c r="A47" s="293" t="s">
        <v>66</v>
      </c>
      <c r="B47" s="293"/>
      <c r="C47" s="293"/>
      <c r="D47" s="293"/>
      <c r="E47" s="293"/>
      <c r="F47" s="293"/>
      <c r="G47" s="293"/>
      <c r="H47" s="293"/>
      <c r="I47" s="293"/>
    </row>
    <row r="48" spans="1:10" ht="15.75">
      <c r="A48" s="15" t="s">
        <v>67</v>
      </c>
      <c r="B48" s="52" t="s">
        <v>68</v>
      </c>
      <c r="C48" s="15"/>
      <c r="D48" s="34"/>
      <c r="E48" s="34"/>
      <c r="F48" s="34"/>
      <c r="G48" s="34"/>
      <c r="H48" s="34"/>
      <c r="I48" s="34"/>
    </row>
    <row r="49" spans="1:10" ht="15.75" hidden="1" outlineLevel="1">
      <c r="A49" s="15"/>
      <c r="B49" s="16" t="s">
        <v>69</v>
      </c>
      <c r="C49" s="17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0" ht="15.75" hidden="1" outlineLevel="1">
      <c r="A50" s="15"/>
      <c r="B50" s="15" t="s">
        <v>12</v>
      </c>
      <c r="C50" s="17"/>
      <c r="D50" s="53"/>
      <c r="E50" s="53"/>
      <c r="F50" s="53"/>
      <c r="G50" s="53"/>
      <c r="H50" s="53"/>
      <c r="I50" s="53"/>
    </row>
    <row r="51" spans="1:10" ht="15.75" collapsed="1">
      <c r="A51" s="15"/>
      <c r="B51" s="29" t="s">
        <v>71</v>
      </c>
      <c r="C51" s="17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54" t="s">
        <v>73</v>
      </c>
      <c r="I51" s="18" t="s">
        <v>73</v>
      </c>
    </row>
    <row r="52" spans="1:10" ht="15.75" hidden="1" outlineLevel="1">
      <c r="A52" s="15"/>
      <c r="B52" s="16" t="s">
        <v>74</v>
      </c>
      <c r="C52" s="17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0" ht="15.75" hidden="1" outlineLevel="1">
      <c r="A53" s="15"/>
      <c r="B53" s="16" t="s">
        <v>75</v>
      </c>
      <c r="C53" s="17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0" ht="15.75" collapsed="1">
      <c r="A54" s="15" t="s">
        <v>76</v>
      </c>
      <c r="B54" s="52" t="s">
        <v>77</v>
      </c>
      <c r="C54" s="17"/>
      <c r="D54" s="53"/>
      <c r="E54" s="53"/>
      <c r="F54" s="53"/>
      <c r="G54" s="53"/>
      <c r="H54" s="53"/>
      <c r="I54" s="53"/>
    </row>
    <row r="55" spans="1:10" ht="15.75">
      <c r="A55" s="15"/>
      <c r="B55" s="29" t="s">
        <v>78</v>
      </c>
      <c r="C55" s="17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0" ht="15.75" hidden="1" outlineLevel="1">
      <c r="A56" s="15"/>
      <c r="B56" s="16" t="s">
        <v>80</v>
      </c>
      <c r="C56" s="17" t="s">
        <v>81</v>
      </c>
      <c r="D56" s="55"/>
      <c r="E56" s="53"/>
      <c r="F56" s="53"/>
      <c r="G56" s="53"/>
      <c r="H56" s="53"/>
      <c r="I56" s="53"/>
    </row>
    <row r="57" spans="1:10" ht="24.75" hidden="1" customHeight="1" outlineLevel="1">
      <c r="A57" s="15"/>
      <c r="B57" s="16" t="s">
        <v>82</v>
      </c>
      <c r="C57" s="17" t="s">
        <v>81</v>
      </c>
      <c r="D57" s="56">
        <v>0</v>
      </c>
      <c r="E57" s="56"/>
      <c r="F57" s="56"/>
      <c r="G57" s="56"/>
      <c r="H57" s="56"/>
      <c r="I57" s="56"/>
    </row>
    <row r="58" spans="1:10" ht="15.75" collapsed="1">
      <c r="A58" s="294" t="s">
        <v>83</v>
      </c>
      <c r="B58" s="294"/>
      <c r="C58" s="294"/>
      <c r="D58" s="294"/>
      <c r="E58" s="294"/>
      <c r="F58" s="294"/>
      <c r="G58" s="294"/>
      <c r="H58" s="294"/>
      <c r="I58" s="294"/>
    </row>
    <row r="59" spans="1:10" ht="15.75">
      <c r="A59" s="15" t="s">
        <v>84</v>
      </c>
      <c r="B59" s="16" t="s">
        <v>85</v>
      </c>
      <c r="C59" s="17" t="s">
        <v>86</v>
      </c>
      <c r="D59" s="57" t="e">
        <f>#REF!</f>
        <v>#REF!</v>
      </c>
      <c r="E59" s="57" t="e">
        <f>#REF!</f>
        <v>#REF!</v>
      </c>
      <c r="F59" s="57" t="e">
        <f>#REF!</f>
        <v>#REF!</v>
      </c>
      <c r="G59" s="28" t="e">
        <f>E59-D59</f>
        <v>#REF!</v>
      </c>
      <c r="H59" s="57">
        <v>5768</v>
      </c>
      <c r="I59" s="28" t="e">
        <f t="shared" ref="I59:I64" si="5">IF(H59&gt;0,ROUND(E59/H59*100,1),0)</f>
        <v>#REF!</v>
      </c>
      <c r="J59" t="s">
        <v>87</v>
      </c>
    </row>
    <row r="60" spans="1:10" ht="31.5" hidden="1" outlineLevel="1">
      <c r="A60" s="15" t="s">
        <v>88</v>
      </c>
      <c r="B60" s="16" t="s">
        <v>89</v>
      </c>
      <c r="C60" s="17" t="s">
        <v>90</v>
      </c>
      <c r="D60" s="57" t="e">
        <f>#REF!</f>
        <v>#REF!</v>
      </c>
      <c r="E60" s="57" t="e">
        <f>#REF!</f>
        <v>#REF!</v>
      </c>
      <c r="F60" s="28" t="e">
        <f>ROUND(E60/D60*100,1)</f>
        <v>#REF!</v>
      </c>
      <c r="G60" s="28"/>
      <c r="H60" s="28"/>
      <c r="I60" s="28">
        <f t="shared" si="5"/>
        <v>0</v>
      </c>
    </row>
    <row r="61" spans="1:10" ht="15.75" collapsed="1">
      <c r="A61" s="15" t="s">
        <v>91</v>
      </c>
      <c r="B61" s="16" t="s">
        <v>92</v>
      </c>
      <c r="C61" s="17" t="s">
        <v>37</v>
      </c>
      <c r="D61" s="57" t="e">
        <f>#REF!</f>
        <v>#REF!</v>
      </c>
      <c r="E61" s="57" t="e">
        <f>#REF!</f>
        <v>#REF!</v>
      </c>
      <c r="F61" s="28" t="e">
        <f>ROUND(E61/D61*100,1)</f>
        <v>#REF!</v>
      </c>
      <c r="G61" s="28" t="e">
        <f>E61-D61</f>
        <v>#REF!</v>
      </c>
      <c r="H61" s="33">
        <v>92642.6</v>
      </c>
      <c r="I61" s="28" t="e">
        <f t="shared" si="5"/>
        <v>#REF!</v>
      </c>
      <c r="J61" t="s">
        <v>87</v>
      </c>
    </row>
    <row r="62" spans="1:10" ht="15.75">
      <c r="A62" s="15" t="s">
        <v>93</v>
      </c>
      <c r="B62" s="16" t="s">
        <v>94</v>
      </c>
      <c r="C62" s="17" t="s">
        <v>95</v>
      </c>
      <c r="D62" s="57" t="e">
        <f>#REF!</f>
        <v>#REF!</v>
      </c>
      <c r="E62" s="57" t="e">
        <f>#REF!</f>
        <v>#REF!</v>
      </c>
      <c r="F62" s="28" t="e">
        <f>ROUND(E62/D62*100,1)</f>
        <v>#REF!</v>
      </c>
      <c r="G62" s="28" t="e">
        <f>E62-D62</f>
        <v>#REF!</v>
      </c>
      <c r="H62" s="28">
        <v>2675.5</v>
      </c>
      <c r="I62" s="28" t="e">
        <f t="shared" si="5"/>
        <v>#REF!</v>
      </c>
      <c r="J62" t="s">
        <v>87</v>
      </c>
    </row>
    <row r="63" spans="1:10" ht="15.75">
      <c r="A63" s="15" t="s">
        <v>96</v>
      </c>
      <c r="B63" s="16" t="s">
        <v>97</v>
      </c>
      <c r="C63" s="17" t="s">
        <v>37</v>
      </c>
      <c r="D63" s="57" t="e">
        <f>#REF!</f>
        <v>#REF!</v>
      </c>
      <c r="E63" s="57" t="e">
        <f>#REF!</f>
        <v>#REF!</v>
      </c>
      <c r="F63" s="28"/>
      <c r="G63" s="18"/>
      <c r="H63" s="18">
        <v>1223528</v>
      </c>
      <c r="I63" s="18" t="e">
        <f t="shared" si="5"/>
        <v>#REF!</v>
      </c>
      <c r="J63" t="s">
        <v>58</v>
      </c>
    </row>
    <row r="64" spans="1:10" ht="15.75" hidden="1" outlineLevel="1">
      <c r="A64" s="15" t="s">
        <v>98</v>
      </c>
      <c r="B64" s="16" t="s">
        <v>99</v>
      </c>
      <c r="C64" s="17" t="s">
        <v>37</v>
      </c>
      <c r="D64" s="57" t="e">
        <f>#REF!</f>
        <v>#REF!</v>
      </c>
      <c r="E64" s="57" t="e">
        <f>#REF!</f>
        <v>#REF!</v>
      </c>
      <c r="F64" s="59"/>
      <c r="G64" s="58"/>
      <c r="H64" s="58"/>
      <c r="I64" s="59">
        <f t="shared" si="5"/>
        <v>0</v>
      </c>
      <c r="J64" s="31"/>
    </row>
    <row r="65" spans="1:13" ht="15.75" collapsed="1">
      <c r="A65" s="15" t="s">
        <v>100</v>
      </c>
      <c r="B65" s="16" t="s">
        <v>101</v>
      </c>
      <c r="C65" s="17" t="s">
        <v>102</v>
      </c>
      <c r="D65" s="57" t="e">
        <f>#REF!</f>
        <v>#REF!</v>
      </c>
      <c r="E65" s="57" t="e">
        <f>#REF!</f>
        <v>#REF!</v>
      </c>
      <c r="F65" s="28" t="e">
        <f>ROUND(E65/D65*100,1)</f>
        <v>#REF!</v>
      </c>
      <c r="G65" s="28" t="e">
        <f>E65-D65</f>
        <v>#REF!</v>
      </c>
      <c r="H65" s="60">
        <v>187485.53338051724</v>
      </c>
      <c r="I65" s="28" t="e">
        <f>ROUND(E65/H65*100,1)</f>
        <v>#REF!</v>
      </c>
      <c r="J65" t="s">
        <v>103</v>
      </c>
    </row>
    <row r="66" spans="1:13" ht="15.75" hidden="1" outlineLevel="1">
      <c r="A66" s="15"/>
      <c r="B66" s="15" t="s">
        <v>12</v>
      </c>
      <c r="C66" s="17"/>
      <c r="D66" s="53"/>
      <c r="E66" s="53"/>
      <c r="F66" s="53"/>
      <c r="G66" s="53"/>
      <c r="H66" s="53"/>
      <c r="I66" s="53"/>
    </row>
    <row r="67" spans="1:13" ht="15.75" hidden="1" outlineLevel="1">
      <c r="A67" s="15"/>
      <c r="B67" s="16" t="s">
        <v>104</v>
      </c>
      <c r="C67" s="17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15"/>
      <c r="B68" s="16" t="s">
        <v>105</v>
      </c>
      <c r="C68" s="17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94" t="s">
        <v>106</v>
      </c>
      <c r="B69" s="294"/>
      <c r="C69" s="294"/>
      <c r="D69" s="294"/>
      <c r="E69" s="294"/>
      <c r="F69" s="294"/>
      <c r="G69" s="294"/>
      <c r="H69" s="294"/>
      <c r="I69" s="294"/>
    </row>
    <row r="70" spans="1:13" ht="15.75">
      <c r="A70" s="15" t="s">
        <v>107</v>
      </c>
      <c r="B70" s="16" t="s">
        <v>108</v>
      </c>
      <c r="C70" s="17" t="s">
        <v>37</v>
      </c>
      <c r="D70" s="28">
        <v>503715.9</v>
      </c>
      <c r="E70" s="18" t="e">
        <f>#REF!</f>
        <v>#REF!</v>
      </c>
      <c r="F70" s="18" t="e">
        <f t="shared" ref="F70:F96" si="6">ROUND(E70/D70*100,1)</f>
        <v>#REF!</v>
      </c>
      <c r="G70" s="18" t="e">
        <f t="shared" ref="G70:G96" si="7">E70-D70</f>
        <v>#REF!</v>
      </c>
      <c r="H70" s="18">
        <v>224339.326</v>
      </c>
      <c r="I70" s="18" t="e">
        <f t="shared" ref="I70:I85" si="8">ROUND(E70/H70*100,1)</f>
        <v>#REF!</v>
      </c>
      <c r="J70" t="s">
        <v>103</v>
      </c>
      <c r="M70">
        <f>1759313-152984-76292-1017231</f>
        <v>512806</v>
      </c>
    </row>
    <row r="71" spans="1:13" ht="15.75">
      <c r="A71" s="15" t="s">
        <v>109</v>
      </c>
      <c r="B71" s="16" t="s">
        <v>110</v>
      </c>
      <c r="C71" s="17" t="s">
        <v>37</v>
      </c>
      <c r="D71" s="28">
        <v>356201.6</v>
      </c>
      <c r="E71" s="18" t="e">
        <f>#REF!</f>
        <v>#REF!</v>
      </c>
      <c r="F71" s="18" t="e">
        <f t="shared" si="6"/>
        <v>#REF!</v>
      </c>
      <c r="G71" s="18" t="e">
        <f t="shared" si="7"/>
        <v>#REF!</v>
      </c>
      <c r="H71" s="18">
        <v>167140.25399999999</v>
      </c>
      <c r="I71" s="18" t="e">
        <f t="shared" si="8"/>
        <v>#REF!</v>
      </c>
      <c r="J71" t="s">
        <v>103</v>
      </c>
    </row>
    <row r="72" spans="1:13" ht="15.75">
      <c r="A72" s="15" t="s">
        <v>111</v>
      </c>
      <c r="B72" s="16" t="s">
        <v>112</v>
      </c>
      <c r="C72" s="17" t="s">
        <v>37</v>
      </c>
      <c r="D72" s="33">
        <f>D70-D71</f>
        <v>147514.30000000005</v>
      </c>
      <c r="E72" s="18" t="e">
        <f>#REF!</f>
        <v>#REF!</v>
      </c>
      <c r="F72" s="34" t="e">
        <f t="shared" si="6"/>
        <v>#REF!</v>
      </c>
      <c r="G72" s="18" t="e">
        <f t="shared" si="7"/>
        <v>#REF!</v>
      </c>
      <c r="H72" s="34">
        <v>57199.072000000015</v>
      </c>
      <c r="I72" s="34" t="e">
        <f t="shared" si="8"/>
        <v>#REF!</v>
      </c>
      <c r="J72" t="s">
        <v>103</v>
      </c>
      <c r="M72" s="11">
        <f>D72-D73</f>
        <v>85916.000000000044</v>
      </c>
    </row>
    <row r="73" spans="1:13" ht="15.75">
      <c r="A73" s="15"/>
      <c r="B73" s="52" t="s">
        <v>113</v>
      </c>
      <c r="C73" s="17" t="s">
        <v>37</v>
      </c>
      <c r="D73" s="26">
        <f>D74+D75+D76</f>
        <v>61598.3</v>
      </c>
      <c r="E73" s="18" t="e">
        <f>#REF!</f>
        <v>#REF!</v>
      </c>
      <c r="F73" s="6" t="e">
        <f t="shared" si="6"/>
        <v>#REF!</v>
      </c>
      <c r="G73" s="6" t="e">
        <f t="shared" si="7"/>
        <v>#REF!</v>
      </c>
      <c r="H73" s="26">
        <v>63781.318999999996</v>
      </c>
      <c r="I73" s="6" t="e">
        <f t="shared" si="8"/>
        <v>#REF!</v>
      </c>
      <c r="J73" t="s">
        <v>103</v>
      </c>
      <c r="M73" s="11" t="e">
        <f>M72+D77</f>
        <v>#REF!</v>
      </c>
    </row>
    <row r="74" spans="1:13" ht="15.75">
      <c r="A74" s="15"/>
      <c r="B74" s="61" t="s">
        <v>114</v>
      </c>
      <c r="C74" s="17" t="s">
        <v>37</v>
      </c>
      <c r="D74" s="28">
        <v>2447.1999999999998</v>
      </c>
      <c r="E74" s="18" t="e">
        <f>#REF!</f>
        <v>#REF!</v>
      </c>
      <c r="F74" s="34" t="e">
        <f t="shared" si="6"/>
        <v>#REF!</v>
      </c>
      <c r="G74" s="18" t="e">
        <f t="shared" si="7"/>
        <v>#REF!</v>
      </c>
      <c r="H74" s="34">
        <v>4319.3050000000003</v>
      </c>
      <c r="I74" s="34" t="e">
        <f t="shared" si="8"/>
        <v>#REF!</v>
      </c>
      <c r="J74" t="s">
        <v>103</v>
      </c>
    </row>
    <row r="75" spans="1:13" ht="15.75">
      <c r="A75" s="15"/>
      <c r="B75" s="61" t="s">
        <v>115</v>
      </c>
      <c r="C75" s="17" t="s">
        <v>37</v>
      </c>
      <c r="D75" s="28">
        <v>24556.1</v>
      </c>
      <c r="E75" s="18" t="e">
        <f>#REF!</f>
        <v>#REF!</v>
      </c>
      <c r="F75" s="18" t="e">
        <f t="shared" si="6"/>
        <v>#REF!</v>
      </c>
      <c r="G75" s="18" t="e">
        <f t="shared" si="7"/>
        <v>#REF!</v>
      </c>
      <c r="H75" s="18">
        <v>19927.366999999998</v>
      </c>
      <c r="I75" s="18" t="e">
        <f t="shared" si="8"/>
        <v>#REF!</v>
      </c>
      <c r="J75" t="s">
        <v>103</v>
      </c>
    </row>
    <row r="76" spans="1:13" ht="15.75">
      <c r="A76" s="15"/>
      <c r="B76" s="61" t="s">
        <v>116</v>
      </c>
      <c r="C76" s="17" t="s">
        <v>37</v>
      </c>
      <c r="D76" s="28">
        <v>34595</v>
      </c>
      <c r="E76" s="18" t="e">
        <f>#REF!</f>
        <v>#REF!</v>
      </c>
      <c r="F76" s="18" t="e">
        <f t="shared" si="6"/>
        <v>#REF!</v>
      </c>
      <c r="G76" s="18" t="e">
        <f t="shared" si="7"/>
        <v>#REF!</v>
      </c>
      <c r="H76" s="18">
        <v>39534.646999999997</v>
      </c>
      <c r="I76" s="18" t="e">
        <f t="shared" si="8"/>
        <v>#REF!</v>
      </c>
      <c r="J76" t="s">
        <v>103</v>
      </c>
    </row>
    <row r="77" spans="1:13" ht="15.75">
      <c r="A77" s="15"/>
      <c r="B77" s="16" t="s">
        <v>117</v>
      </c>
      <c r="C77" s="17" t="s">
        <v>37</v>
      </c>
      <c r="D77" s="28" t="e">
        <f>#REF!</f>
        <v>#REF!</v>
      </c>
      <c r="E77" s="18" t="e">
        <f>#REF!</f>
        <v>#REF!</v>
      </c>
      <c r="F77" s="18"/>
      <c r="G77" s="18" t="e">
        <f t="shared" si="7"/>
        <v>#REF!</v>
      </c>
      <c r="H77" s="18">
        <v>12714.996999999999</v>
      </c>
      <c r="I77" s="18" t="e">
        <f t="shared" si="8"/>
        <v>#REF!</v>
      </c>
      <c r="J77" t="s">
        <v>103</v>
      </c>
    </row>
    <row r="78" spans="1:13" ht="15.75">
      <c r="A78" s="15"/>
      <c r="B78" s="16" t="s">
        <v>118</v>
      </c>
      <c r="C78" s="17" t="s">
        <v>37</v>
      </c>
      <c r="D78" s="28">
        <v>-82349</v>
      </c>
      <c r="E78" s="18" t="e">
        <f>#REF!</f>
        <v>#REF!</v>
      </c>
      <c r="F78" s="18" t="e">
        <f t="shared" si="6"/>
        <v>#REF!</v>
      </c>
      <c r="G78" s="18" t="e">
        <f t="shared" si="7"/>
        <v>#REF!</v>
      </c>
      <c r="H78" s="18">
        <v>122930.549</v>
      </c>
      <c r="I78" s="18" t="e">
        <f t="shared" si="8"/>
        <v>#REF!</v>
      </c>
      <c r="J78" t="s">
        <v>103</v>
      </c>
    </row>
    <row r="79" spans="1:13" ht="15.75" hidden="1" outlineLevel="1">
      <c r="A79" s="15"/>
      <c r="B79" s="16" t="s">
        <v>119</v>
      </c>
      <c r="C79" s="17" t="s">
        <v>37</v>
      </c>
      <c r="D79" s="33"/>
      <c r="E79" s="18" t="e">
        <f>#REF!</f>
        <v>#REF!</v>
      </c>
      <c r="F79" s="18" t="e">
        <f t="shared" si="6"/>
        <v>#REF!</v>
      </c>
      <c r="G79" s="18" t="e">
        <f t="shared" si="7"/>
        <v>#REF!</v>
      </c>
      <c r="H79" s="58"/>
      <c r="I79" s="18" t="e">
        <f t="shared" si="8"/>
        <v>#REF!</v>
      </c>
    </row>
    <row r="80" spans="1:13" ht="15.75" hidden="1" outlineLevel="1">
      <c r="A80" s="15"/>
      <c r="B80" s="16" t="s">
        <v>120</v>
      </c>
      <c r="C80" s="17" t="s">
        <v>37</v>
      </c>
      <c r="D80" s="33"/>
      <c r="E80" s="18" t="e">
        <f>#REF!</f>
        <v>#REF!</v>
      </c>
      <c r="F80" s="18" t="e">
        <f t="shared" si="6"/>
        <v>#REF!</v>
      </c>
      <c r="G80" s="18" t="e">
        <f t="shared" si="7"/>
        <v>#REF!</v>
      </c>
      <c r="H80" s="58"/>
      <c r="I80" s="18" t="e">
        <f t="shared" si="8"/>
        <v>#REF!</v>
      </c>
    </row>
    <row r="81" spans="1:10" ht="15.75" hidden="1" outlineLevel="1">
      <c r="A81" s="15"/>
      <c r="B81" s="16" t="s">
        <v>121</v>
      </c>
      <c r="C81" s="17" t="s">
        <v>37</v>
      </c>
      <c r="D81" s="33"/>
      <c r="E81" s="18" t="e">
        <f>#REF!</f>
        <v>#REF!</v>
      </c>
      <c r="F81" s="18" t="e">
        <f t="shared" si="6"/>
        <v>#REF!</v>
      </c>
      <c r="G81" s="18" t="e">
        <f t="shared" si="7"/>
        <v>#REF!</v>
      </c>
      <c r="H81" s="58"/>
      <c r="I81" s="18" t="e">
        <f t="shared" si="8"/>
        <v>#REF!</v>
      </c>
    </row>
    <row r="82" spans="1:10" ht="15.75" hidden="1" outlineLevel="1">
      <c r="A82" s="15"/>
      <c r="B82" s="16" t="s">
        <v>122</v>
      </c>
      <c r="C82" s="17" t="s">
        <v>37</v>
      </c>
      <c r="D82" s="33"/>
      <c r="E82" s="18" t="e">
        <f>#REF!</f>
        <v>#REF!</v>
      </c>
      <c r="F82" s="18" t="e">
        <f t="shared" si="6"/>
        <v>#REF!</v>
      </c>
      <c r="G82" s="18" t="e">
        <f t="shared" si="7"/>
        <v>#REF!</v>
      </c>
      <c r="H82" s="58"/>
      <c r="I82" s="18" t="e">
        <f t="shared" si="8"/>
        <v>#REF!</v>
      </c>
    </row>
    <row r="83" spans="1:10" ht="15.75" hidden="1" outlineLevel="1">
      <c r="A83" s="15"/>
      <c r="B83" s="16" t="s">
        <v>123</v>
      </c>
      <c r="C83" s="17" t="s">
        <v>37</v>
      </c>
      <c r="D83" s="33"/>
      <c r="E83" s="18" t="e">
        <f>#REF!</f>
        <v>#REF!</v>
      </c>
      <c r="F83" s="18" t="e">
        <f t="shared" si="6"/>
        <v>#REF!</v>
      </c>
      <c r="G83" s="18" t="e">
        <f t="shared" si="7"/>
        <v>#REF!</v>
      </c>
      <c r="H83" s="58"/>
      <c r="I83" s="18" t="e">
        <f t="shared" si="8"/>
        <v>#REF!</v>
      </c>
    </row>
    <row r="84" spans="1:10" ht="15.75" hidden="1" outlineLevel="1">
      <c r="A84" s="15"/>
      <c r="B84" s="16" t="s">
        <v>121</v>
      </c>
      <c r="C84" s="17" t="s">
        <v>37</v>
      </c>
      <c r="D84" s="33"/>
      <c r="E84" s="18" t="e">
        <f>#REF!</f>
        <v>#REF!</v>
      </c>
      <c r="F84" s="18" t="e">
        <f t="shared" si="6"/>
        <v>#REF!</v>
      </c>
      <c r="G84" s="18" t="e">
        <f t="shared" si="7"/>
        <v>#REF!</v>
      </c>
      <c r="H84" s="58"/>
      <c r="I84" s="18" t="e">
        <f t="shared" si="8"/>
        <v>#REF!</v>
      </c>
    </row>
    <row r="85" spans="1:10" ht="15.75" hidden="1" outlineLevel="1">
      <c r="A85" s="15"/>
      <c r="B85" s="16" t="s">
        <v>122</v>
      </c>
      <c r="C85" s="17" t="s">
        <v>37</v>
      </c>
      <c r="D85" s="33"/>
      <c r="E85" s="18" t="e">
        <f>#REF!</f>
        <v>#REF!</v>
      </c>
      <c r="F85" s="18" t="e">
        <f t="shared" si="6"/>
        <v>#REF!</v>
      </c>
      <c r="G85" s="18" t="e">
        <f t="shared" si="7"/>
        <v>#REF!</v>
      </c>
      <c r="H85" s="58"/>
      <c r="I85" s="18" t="e">
        <f t="shared" si="8"/>
        <v>#REF!</v>
      </c>
    </row>
    <row r="86" spans="1:10" ht="15.75" hidden="1" outlineLevel="1" collapsed="1">
      <c r="A86" s="15"/>
      <c r="B86" s="16" t="s">
        <v>124</v>
      </c>
      <c r="C86" s="17" t="s">
        <v>37</v>
      </c>
      <c r="D86" s="28"/>
      <c r="E86" s="18" t="e">
        <f>#REF!</f>
        <v>#REF!</v>
      </c>
      <c r="F86" s="18" t="e">
        <f t="shared" si="6"/>
        <v>#REF!</v>
      </c>
      <c r="G86" s="18" t="e">
        <f t="shared" si="7"/>
        <v>#REF!</v>
      </c>
      <c r="H86" s="58"/>
      <c r="I86" s="18"/>
    </row>
    <row r="87" spans="1:10" ht="15.75" hidden="1" outlineLevel="1">
      <c r="A87" s="15"/>
      <c r="B87" s="16" t="s">
        <v>121</v>
      </c>
      <c r="C87" s="17" t="s">
        <v>37</v>
      </c>
      <c r="D87" s="28"/>
      <c r="E87" s="18" t="e">
        <f>#REF!</f>
        <v>#REF!</v>
      </c>
      <c r="F87" s="18" t="e">
        <f t="shared" si="6"/>
        <v>#REF!</v>
      </c>
      <c r="G87" s="18" t="e">
        <f t="shared" si="7"/>
        <v>#REF!</v>
      </c>
      <c r="H87" s="58"/>
      <c r="I87" s="18" t="e">
        <f>ROUND(E87/H87*100,1)</f>
        <v>#REF!</v>
      </c>
    </row>
    <row r="88" spans="1:10" ht="15.75" hidden="1" outlineLevel="1">
      <c r="A88" s="15"/>
      <c r="B88" s="16" t="s">
        <v>122</v>
      </c>
      <c r="C88" s="17" t="s">
        <v>37</v>
      </c>
      <c r="D88" s="33"/>
      <c r="E88" s="18" t="e">
        <f>#REF!</f>
        <v>#REF!</v>
      </c>
      <c r="F88" s="18" t="e">
        <f t="shared" si="6"/>
        <v>#REF!</v>
      </c>
      <c r="G88" s="18" t="e">
        <f t="shared" si="7"/>
        <v>#REF!</v>
      </c>
      <c r="H88" s="58"/>
      <c r="I88" s="18"/>
    </row>
    <row r="89" spans="1:10" ht="15.75" collapsed="1">
      <c r="A89" s="15"/>
      <c r="B89" s="16" t="s">
        <v>125</v>
      </c>
      <c r="C89" s="17" t="s">
        <v>37</v>
      </c>
      <c r="D89" s="26" t="e">
        <f>D72-D73+D77+D78</f>
        <v>#REF!</v>
      </c>
      <c r="E89" s="18" t="e">
        <f>#REF!</f>
        <v>#REF!</v>
      </c>
      <c r="F89" s="6" t="e">
        <f t="shared" si="6"/>
        <v>#REF!</v>
      </c>
      <c r="G89" s="6" t="e">
        <f t="shared" si="7"/>
        <v>#REF!</v>
      </c>
      <c r="H89" s="62">
        <v>-116797.79899999998</v>
      </c>
      <c r="I89" s="6" t="e">
        <f t="shared" ref="I89:I96" si="9">ROUND(E89/H89*100,1)</f>
        <v>#REF!</v>
      </c>
      <c r="J89" t="s">
        <v>103</v>
      </c>
    </row>
    <row r="90" spans="1:10" ht="17.25" customHeight="1">
      <c r="A90" s="15"/>
      <c r="B90" s="16" t="s">
        <v>126</v>
      </c>
      <c r="C90" s="17" t="s">
        <v>37</v>
      </c>
      <c r="D90" s="28">
        <v>0</v>
      </c>
      <c r="E90" s="18" t="e">
        <f>#REF!</f>
        <v>#REF!</v>
      </c>
      <c r="F90" s="18"/>
      <c r="G90" s="18"/>
      <c r="H90" s="18"/>
      <c r="I90" s="18"/>
      <c r="J90" t="s">
        <v>103</v>
      </c>
    </row>
    <row r="91" spans="1:10" ht="17.25" hidden="1" customHeight="1" outlineLevel="1">
      <c r="A91" s="15"/>
      <c r="B91" s="16" t="s">
        <v>127</v>
      </c>
      <c r="C91" s="17" t="s">
        <v>37</v>
      </c>
      <c r="D91" s="28">
        <f>'[1]1 квартал'!$B$297/1000</f>
        <v>15.822778173897415</v>
      </c>
      <c r="E91" s="18" t="e">
        <f>#REF!</f>
        <v>#REF!</v>
      </c>
      <c r="F91" s="18"/>
      <c r="G91" s="18" t="e">
        <f t="shared" si="7"/>
        <v>#REF!</v>
      </c>
      <c r="H91" s="34"/>
      <c r="I91" s="18"/>
    </row>
    <row r="92" spans="1:10" ht="15.75" collapsed="1">
      <c r="A92" s="15"/>
      <c r="B92" s="16" t="s">
        <v>128</v>
      </c>
      <c r="C92" s="17" t="s">
        <v>37</v>
      </c>
      <c r="D92" s="28" t="e">
        <f>D89</f>
        <v>#REF!</v>
      </c>
      <c r="E92" s="18" t="e">
        <f>#REF!</f>
        <v>#REF!</v>
      </c>
      <c r="F92" s="18" t="e">
        <f t="shared" si="6"/>
        <v>#REF!</v>
      </c>
      <c r="G92" s="18" t="e">
        <f t="shared" si="7"/>
        <v>#REF!</v>
      </c>
      <c r="H92" s="34"/>
      <c r="I92" s="18"/>
      <c r="J92" t="s">
        <v>103</v>
      </c>
    </row>
    <row r="93" spans="1:10" ht="17.25" customHeight="1">
      <c r="A93" s="15"/>
      <c r="B93" s="16" t="s">
        <v>129</v>
      </c>
      <c r="C93" s="17" t="s">
        <v>37</v>
      </c>
      <c r="D93" s="33" t="e">
        <f>D92*15%-19.4</f>
        <v>#REF!</v>
      </c>
      <c r="E93" s="18" t="e">
        <f>#REF!</f>
        <v>#REF!</v>
      </c>
      <c r="F93" s="18" t="e">
        <f t="shared" si="6"/>
        <v>#REF!</v>
      </c>
      <c r="G93" s="18" t="e">
        <f t="shared" si="7"/>
        <v>#REF!</v>
      </c>
      <c r="H93" s="34"/>
      <c r="I93" s="18"/>
      <c r="J93" t="s">
        <v>103</v>
      </c>
    </row>
    <row r="94" spans="1:10" ht="15.75" hidden="1" outlineLevel="1">
      <c r="A94" s="15"/>
      <c r="B94" s="16" t="s">
        <v>130</v>
      </c>
      <c r="C94" s="17" t="s">
        <v>37</v>
      </c>
      <c r="D94" s="33"/>
      <c r="E94" s="18" t="e">
        <f>#REF!</f>
        <v>#REF!</v>
      </c>
      <c r="F94" s="18" t="e">
        <f t="shared" si="6"/>
        <v>#REF!</v>
      </c>
      <c r="G94" s="18" t="e">
        <f t="shared" si="7"/>
        <v>#REF!</v>
      </c>
      <c r="H94" s="63">
        <v>0</v>
      </c>
      <c r="I94" s="18" t="e">
        <f t="shared" si="9"/>
        <v>#REF!</v>
      </c>
      <c r="J94" t="s">
        <v>103</v>
      </c>
    </row>
    <row r="95" spans="1:10" ht="15.75" hidden="1" outlineLevel="2">
      <c r="A95" s="15"/>
      <c r="B95" s="16" t="s">
        <v>131</v>
      </c>
      <c r="C95" s="17" t="s">
        <v>37</v>
      </c>
      <c r="D95" s="33"/>
      <c r="E95" s="18" t="e">
        <f>#REF!</f>
        <v>#REF!</v>
      </c>
      <c r="F95" s="18" t="e">
        <f t="shared" si="6"/>
        <v>#REF!</v>
      </c>
      <c r="G95" s="18" t="e">
        <f t="shared" si="7"/>
        <v>#REF!</v>
      </c>
      <c r="H95" s="34"/>
      <c r="I95" s="18" t="e">
        <f t="shared" si="9"/>
        <v>#REF!</v>
      </c>
    </row>
    <row r="96" spans="1:10" ht="15.75" collapsed="1">
      <c r="A96" s="15"/>
      <c r="B96" s="16" t="s">
        <v>132</v>
      </c>
      <c r="C96" s="17" t="s">
        <v>37</v>
      </c>
      <c r="D96" s="33" t="e">
        <f>D92-D93</f>
        <v>#REF!</v>
      </c>
      <c r="E96" s="18" t="e">
        <f>#REF!</f>
        <v>#REF!</v>
      </c>
      <c r="F96" s="18" t="e">
        <f t="shared" si="6"/>
        <v>#REF!</v>
      </c>
      <c r="G96" s="18" t="e">
        <f t="shared" si="7"/>
        <v>#REF!</v>
      </c>
      <c r="H96" s="34">
        <v>-116797.79899999998</v>
      </c>
      <c r="I96" s="18" t="e">
        <f t="shared" si="9"/>
        <v>#REF!</v>
      </c>
      <c r="J96" t="s">
        <v>103</v>
      </c>
    </row>
    <row r="97" spans="1:12" ht="15.75" hidden="1" outlineLevel="1">
      <c r="A97" s="15"/>
      <c r="B97" s="64" t="s">
        <v>133</v>
      </c>
      <c r="C97" s="65"/>
      <c r="D97" s="66"/>
      <c r="E97" s="18" t="e">
        <f>#REF!</f>
        <v>#REF!</v>
      </c>
      <c r="F97" s="66"/>
      <c r="G97" s="66"/>
      <c r="H97" s="23"/>
      <c r="I97" s="66"/>
    </row>
    <row r="98" spans="1:12" ht="15.75" hidden="1" outlineLevel="1">
      <c r="A98" s="15"/>
      <c r="B98" s="16" t="s">
        <v>134</v>
      </c>
      <c r="C98" s="17" t="s">
        <v>37</v>
      </c>
      <c r="D98" s="34"/>
      <c r="E98" s="18" t="e">
        <f>#REF!</f>
        <v>#REF!</v>
      </c>
      <c r="F98" s="18" t="e">
        <f>IF(E98&gt;0,ROUND(E98/D98*100,1),0)</f>
        <v>#REF!</v>
      </c>
      <c r="G98" s="18" t="e">
        <f>E98-D98</f>
        <v>#REF!</v>
      </c>
      <c r="H98" s="23"/>
      <c r="I98" s="34"/>
    </row>
    <row r="99" spans="1:12" ht="16.5" hidden="1" customHeight="1" outlineLevel="1">
      <c r="A99" s="15"/>
      <c r="B99" s="16" t="s">
        <v>135</v>
      </c>
      <c r="C99" s="17" t="s">
        <v>37</v>
      </c>
      <c r="D99" s="34"/>
      <c r="E99" s="18" t="e">
        <f>#REF!</f>
        <v>#REF!</v>
      </c>
      <c r="F99" s="34"/>
      <c r="G99" s="34"/>
      <c r="H99" s="23"/>
      <c r="I99" s="34"/>
    </row>
    <row r="100" spans="1:12" ht="16.5" hidden="1" customHeight="1" outlineLevel="1">
      <c r="A100" s="67"/>
      <c r="B100" s="68" t="s">
        <v>119</v>
      </c>
      <c r="C100" s="69" t="s">
        <v>37</v>
      </c>
      <c r="D100" s="70">
        <v>0</v>
      </c>
      <c r="E100" s="18" t="e">
        <f>#REF!</f>
        <v>#REF!</v>
      </c>
      <c r="F100" s="70"/>
      <c r="G100" s="70"/>
      <c r="H100" s="71"/>
      <c r="I100" s="70"/>
    </row>
    <row r="101" spans="1:12" ht="15.75" collapsed="1">
      <c r="A101" s="15" t="s">
        <v>136</v>
      </c>
      <c r="B101" s="52" t="s">
        <v>137</v>
      </c>
      <c r="C101" s="17"/>
      <c r="D101" s="34"/>
      <c r="E101" s="18" t="e">
        <f>#REF!</f>
        <v>#REF!</v>
      </c>
      <c r="F101" s="18"/>
      <c r="G101" s="18"/>
      <c r="H101" s="34"/>
      <c r="I101" s="18"/>
    </row>
    <row r="102" spans="1:12" ht="15.75">
      <c r="A102" s="15"/>
      <c r="B102" s="29" t="s">
        <v>138</v>
      </c>
      <c r="C102" s="17" t="s">
        <v>37</v>
      </c>
      <c r="D102" s="6" t="e">
        <f>D103+D106</f>
        <v>#REF!</v>
      </c>
      <c r="E102" s="18" t="e">
        <f>#REF!</f>
        <v>#REF!</v>
      </c>
      <c r="F102" s="6" t="e">
        <f>ROUND(E102/D102*100,1)</f>
        <v>#REF!</v>
      </c>
      <c r="G102" s="6" t="e">
        <f>E102-D102</f>
        <v>#REF!</v>
      </c>
      <c r="H102" s="6">
        <v>32917.883000000002</v>
      </c>
      <c r="I102" s="6" t="e">
        <f>ROUND(E102/H102*100,1)</f>
        <v>#REF!</v>
      </c>
      <c r="J102" s="11" t="s">
        <v>139</v>
      </c>
    </row>
    <row r="103" spans="1:12" ht="15.75">
      <c r="A103" s="15"/>
      <c r="B103" s="61" t="s">
        <v>140</v>
      </c>
      <c r="C103" s="17" t="s">
        <v>37</v>
      </c>
      <c r="D103" s="34" t="e">
        <f>D93</f>
        <v>#REF!</v>
      </c>
      <c r="E103" s="18" t="e">
        <f>#REF!</f>
        <v>#REF!</v>
      </c>
      <c r="F103" s="18" t="e">
        <f>ROUND(E103/D103*100,1)</f>
        <v>#REF!</v>
      </c>
      <c r="G103" s="18" t="e">
        <f>E103-D103</f>
        <v>#REF!</v>
      </c>
      <c r="H103" s="34">
        <v>0</v>
      </c>
      <c r="I103" s="18"/>
      <c r="J103" s="11" t="s">
        <v>139</v>
      </c>
    </row>
    <row r="104" spans="1:12" ht="17.25" hidden="1" customHeight="1" outlineLevel="1">
      <c r="A104" s="15"/>
      <c r="B104" s="61" t="s">
        <v>141</v>
      </c>
      <c r="C104" s="17" t="s">
        <v>37</v>
      </c>
      <c r="D104" s="34"/>
      <c r="E104" s="18" t="e">
        <f>#REF!</f>
        <v>#REF!</v>
      </c>
      <c r="F104" s="34"/>
      <c r="G104" s="34"/>
      <c r="H104" s="34"/>
      <c r="I104" s="18"/>
      <c r="J104" s="11"/>
    </row>
    <row r="105" spans="1:12" ht="17.25" hidden="1" customHeight="1" outlineLevel="1">
      <c r="A105" s="15"/>
      <c r="B105" s="72" t="s">
        <v>142</v>
      </c>
      <c r="C105" s="17" t="s">
        <v>37</v>
      </c>
      <c r="D105" s="34"/>
      <c r="E105" s="18" t="e">
        <f>#REF!</f>
        <v>#REF!</v>
      </c>
      <c r="F105" s="18"/>
      <c r="G105" s="34" t="e">
        <f t="shared" ref="G105:G113" si="10">E105-D105</f>
        <v>#REF!</v>
      </c>
      <c r="H105" s="34">
        <v>0</v>
      </c>
      <c r="I105" s="18" t="e">
        <f>ROUND(E105/H105*100,1)</f>
        <v>#REF!</v>
      </c>
      <c r="J105" s="11" t="s">
        <v>139</v>
      </c>
    </row>
    <row r="106" spans="1:12" ht="19.5" customHeight="1" collapsed="1">
      <c r="A106" s="15"/>
      <c r="B106" s="61" t="s">
        <v>143</v>
      </c>
      <c r="C106" s="17" t="s">
        <v>37</v>
      </c>
      <c r="D106" s="18"/>
      <c r="E106" s="18" t="e">
        <f>#REF!</f>
        <v>#REF!</v>
      </c>
      <c r="F106" s="18"/>
      <c r="G106" s="73" t="e">
        <f t="shared" si="10"/>
        <v>#REF!</v>
      </c>
      <c r="H106" s="18">
        <v>19346</v>
      </c>
      <c r="I106" s="18" t="e">
        <f>ROUND(E106/H106*100,1)</f>
        <v>#REF!</v>
      </c>
      <c r="J106" s="11" t="s">
        <v>139</v>
      </c>
    </row>
    <row r="107" spans="1:12" ht="20.25" customHeight="1">
      <c r="A107" s="15"/>
      <c r="B107" s="74" t="s">
        <v>144</v>
      </c>
      <c r="C107" s="17" t="s">
        <v>37</v>
      </c>
      <c r="D107" s="6" t="e">
        <f>SUM(D108:D112)</f>
        <v>#REF!</v>
      </c>
      <c r="E107" s="18" t="e">
        <f>#REF!</f>
        <v>#REF!</v>
      </c>
      <c r="F107" s="6" t="e">
        <f>ROUND(E107/D107*100,1)</f>
        <v>#REF!</v>
      </c>
      <c r="G107" s="6" t="e">
        <f t="shared" si="10"/>
        <v>#REF!</v>
      </c>
      <c r="H107" s="6">
        <v>13571.883</v>
      </c>
      <c r="I107" s="6" t="e">
        <f>IF(H107&gt;0,ROUND(E107/H107*100,1),0)</f>
        <v>#REF!</v>
      </c>
      <c r="J107" s="11" t="s">
        <v>139</v>
      </c>
    </row>
    <row r="108" spans="1:12" ht="15.75">
      <c r="A108" s="15"/>
      <c r="B108" s="75" t="s">
        <v>145</v>
      </c>
      <c r="C108" s="17" t="s">
        <v>37</v>
      </c>
      <c r="D108" s="34" t="e">
        <f>#REF!</f>
        <v>#REF!</v>
      </c>
      <c r="E108" s="18" t="e">
        <f>#REF!</f>
        <v>#REF!</v>
      </c>
      <c r="F108" s="6">
        <v>0</v>
      </c>
      <c r="G108" s="18" t="e">
        <f t="shared" si="10"/>
        <v>#REF!</v>
      </c>
      <c r="H108" s="18">
        <v>47.750999999999998</v>
      </c>
      <c r="I108" s="6" t="e">
        <f>IF(H108&gt;0,ROUND(E108/H108*100,1),0)</f>
        <v>#REF!</v>
      </c>
    </row>
    <row r="109" spans="1:12" s="19" customFormat="1" ht="15.75">
      <c r="A109" s="15"/>
      <c r="B109" s="30" t="s">
        <v>146</v>
      </c>
      <c r="C109" s="17" t="s">
        <v>37</v>
      </c>
      <c r="D109" s="34" t="e">
        <f>#REF!</f>
        <v>#REF!</v>
      </c>
      <c r="E109" s="18" t="e">
        <f>#REF!</f>
        <v>#REF!</v>
      </c>
      <c r="F109" s="18" t="e">
        <f>ROUND(E109/D109*100,1)</f>
        <v>#REF!</v>
      </c>
      <c r="G109" s="18"/>
      <c r="H109" s="34">
        <v>1269.854</v>
      </c>
      <c r="I109" s="34" t="e">
        <f>ROUND(E109/H109*100,1)</f>
        <v>#REF!</v>
      </c>
      <c r="J109" s="11" t="s">
        <v>139</v>
      </c>
      <c r="K109"/>
      <c r="L109"/>
    </row>
    <row r="110" spans="1:12" ht="15.75">
      <c r="A110" s="15"/>
      <c r="B110" s="30" t="s">
        <v>147</v>
      </c>
      <c r="C110" s="17" t="s">
        <v>37</v>
      </c>
      <c r="D110" s="34" t="e">
        <f>#REF!</f>
        <v>#REF!</v>
      </c>
      <c r="E110" s="18" t="e">
        <f>#REF!</f>
        <v>#REF!</v>
      </c>
      <c r="F110" s="18" t="e">
        <f>ROUND(E110/D110*100,1)</f>
        <v>#REF!</v>
      </c>
      <c r="G110" s="18"/>
      <c r="H110" s="34">
        <v>300.07400000000001</v>
      </c>
      <c r="I110" s="34" t="e">
        <f>ROUND(E110/H110*100,1)</f>
        <v>#REF!</v>
      </c>
      <c r="J110" s="11" t="s">
        <v>139</v>
      </c>
    </row>
    <row r="111" spans="1:12" ht="15.75">
      <c r="A111" s="15"/>
      <c r="B111" s="30" t="s">
        <v>148</v>
      </c>
      <c r="C111" s="17" t="s">
        <v>37</v>
      </c>
      <c r="D111" s="34" t="e">
        <f>#REF!</f>
        <v>#REF!</v>
      </c>
      <c r="E111" s="18" t="e">
        <f>#REF!</f>
        <v>#REF!</v>
      </c>
      <c r="F111" s="18" t="e">
        <f>ROUND(E111/D111*100,1)</f>
        <v>#REF!</v>
      </c>
      <c r="G111" s="18"/>
      <c r="H111" s="34">
        <v>3853.2060000000001</v>
      </c>
      <c r="I111" s="34" t="e">
        <f>ROUND(E111/H111*100,1)</f>
        <v>#REF!</v>
      </c>
      <c r="J111" s="11" t="s">
        <v>139</v>
      </c>
    </row>
    <row r="112" spans="1:12" ht="15.75">
      <c r="A112" s="15"/>
      <c r="B112" s="30" t="s">
        <v>149</v>
      </c>
      <c r="C112" s="17" t="s">
        <v>37</v>
      </c>
      <c r="D112" s="34" t="e">
        <f>#REF!</f>
        <v>#REF!</v>
      </c>
      <c r="E112" s="18" t="e">
        <f>#REF!</f>
        <v>#REF!</v>
      </c>
      <c r="F112" s="18" t="e">
        <f>ROUND(E112/D112*100,1)</f>
        <v>#REF!</v>
      </c>
      <c r="G112" s="18"/>
      <c r="H112" s="34">
        <v>8100.9979999999996</v>
      </c>
      <c r="I112" s="34" t="e">
        <f>ROUND(E112/H112*100,1)</f>
        <v>#REF!</v>
      </c>
      <c r="J112" s="11" t="s">
        <v>139</v>
      </c>
    </row>
    <row r="113" spans="1:13" ht="21" customHeight="1">
      <c r="A113" s="15"/>
      <c r="B113" s="76" t="s">
        <v>150</v>
      </c>
      <c r="C113" s="17" t="s">
        <v>37</v>
      </c>
      <c r="D113" s="34" t="e">
        <f>#REF!</f>
        <v>#REF!</v>
      </c>
      <c r="E113" s="18" t="e">
        <f>#REF!</f>
        <v>#REF!</v>
      </c>
      <c r="F113" s="6" t="e">
        <f>ROUND(E113/D113*100,1)</f>
        <v>#REF!</v>
      </c>
      <c r="G113" s="6" t="e">
        <f t="shared" si="10"/>
        <v>#REF!</v>
      </c>
      <c r="H113" s="6">
        <v>14725.021000000001</v>
      </c>
      <c r="I113" s="6" t="e">
        <f>ROUND(E113/H113*100,1)</f>
        <v>#REF!</v>
      </c>
      <c r="J113" s="11" t="s">
        <v>139</v>
      </c>
    </row>
    <row r="114" spans="1:13" ht="15.75">
      <c r="A114" s="15"/>
      <c r="B114" s="15" t="s">
        <v>12</v>
      </c>
      <c r="C114" s="17" t="s">
        <v>37</v>
      </c>
      <c r="D114" s="34" t="e">
        <f>#REF!</f>
        <v>#REF!</v>
      </c>
      <c r="E114" s="18" t="e">
        <f>#REF!</f>
        <v>#REF!</v>
      </c>
      <c r="F114" s="34"/>
      <c r="G114" s="34"/>
      <c r="H114" s="23"/>
      <c r="I114" s="34"/>
    </row>
    <row r="115" spans="1:13" ht="26.25" hidden="1" customHeight="1" outlineLevel="1">
      <c r="A115" s="15"/>
      <c r="B115" s="17" t="s">
        <v>151</v>
      </c>
      <c r="C115" s="17" t="s">
        <v>37</v>
      </c>
      <c r="D115" s="34" t="e">
        <f>#REF!</f>
        <v>#REF!</v>
      </c>
      <c r="E115" s="18" t="e">
        <f>#REF!</f>
        <v>#REF!</v>
      </c>
      <c r="F115" s="18"/>
      <c r="G115" s="18" t="e">
        <f t="shared" ref="G115:G121" si="11">E115-D115</f>
        <v>#REF!</v>
      </c>
      <c r="H115" s="18"/>
      <c r="I115" s="18" t="e">
        <f t="shared" ref="I115:I121" si="12">ROUND(E115/H115*100,1)</f>
        <v>#REF!</v>
      </c>
      <c r="J115" s="11" t="s">
        <v>139</v>
      </c>
    </row>
    <row r="116" spans="1:13" ht="30" hidden="1" customHeight="1" outlineLevel="1">
      <c r="A116" s="15"/>
      <c r="B116" s="30" t="s">
        <v>152</v>
      </c>
      <c r="C116" s="17" t="s">
        <v>37</v>
      </c>
      <c r="D116" s="34" t="e">
        <f>#REF!</f>
        <v>#REF!</v>
      </c>
      <c r="E116" s="18" t="e">
        <f>#REF!</f>
        <v>#REF!</v>
      </c>
      <c r="F116" s="18"/>
      <c r="G116" s="18" t="e">
        <f t="shared" si="11"/>
        <v>#REF!</v>
      </c>
      <c r="H116" s="18"/>
      <c r="I116" s="18" t="e">
        <f t="shared" si="12"/>
        <v>#REF!</v>
      </c>
      <c r="J116" s="11" t="s">
        <v>139</v>
      </c>
    </row>
    <row r="117" spans="1:13" ht="15.75" collapsed="1">
      <c r="A117" s="15"/>
      <c r="B117" s="30" t="s">
        <v>204</v>
      </c>
      <c r="C117" s="17" t="s">
        <v>37</v>
      </c>
      <c r="D117" s="34" t="e">
        <f>#REF!</f>
        <v>#REF!</v>
      </c>
      <c r="E117" s="18" t="e">
        <f>#REF!</f>
        <v>#REF!</v>
      </c>
      <c r="F117" s="18" t="e">
        <f>ROUND(E117/D117*100,1)</f>
        <v>#REF!</v>
      </c>
      <c r="G117" s="18" t="e">
        <f t="shared" si="11"/>
        <v>#REF!</v>
      </c>
      <c r="H117" s="18">
        <v>11085</v>
      </c>
      <c r="I117" s="18" t="e">
        <f t="shared" si="12"/>
        <v>#REF!</v>
      </c>
      <c r="J117" s="11" t="s">
        <v>139</v>
      </c>
    </row>
    <row r="118" spans="1:13" ht="34.5" customHeight="1">
      <c r="A118" s="67"/>
      <c r="B118" s="30" t="s">
        <v>153</v>
      </c>
      <c r="C118" s="17" t="s">
        <v>37</v>
      </c>
      <c r="D118" s="18" t="e">
        <f>#REF!</f>
        <v>#REF!</v>
      </c>
      <c r="E118" s="18" t="e">
        <f>#REF!</f>
        <v>#REF!</v>
      </c>
      <c r="F118" s="18" t="e">
        <f>ROUND(E118/D118*100,1)</f>
        <v>#REF!</v>
      </c>
      <c r="G118" s="35" t="e">
        <f t="shared" si="11"/>
        <v>#REF!</v>
      </c>
      <c r="H118" s="35">
        <v>1587.84</v>
      </c>
      <c r="I118" s="18" t="e">
        <f t="shared" si="12"/>
        <v>#REF!</v>
      </c>
      <c r="J118" s="11" t="s">
        <v>139</v>
      </c>
    </row>
    <row r="119" spans="1:13" ht="47.25" hidden="1" customHeight="1" outlineLevel="1">
      <c r="A119" s="15"/>
      <c r="B119" s="30" t="s">
        <v>154</v>
      </c>
      <c r="C119" s="17" t="s">
        <v>37</v>
      </c>
      <c r="D119" s="18"/>
      <c r="E119" s="18" t="e">
        <f>#REF!</f>
        <v>#REF!</v>
      </c>
      <c r="F119" s="18" t="e">
        <f>ROUND(E119/D119*100,1)</f>
        <v>#REF!</v>
      </c>
      <c r="G119" s="35" t="e">
        <f t="shared" si="11"/>
        <v>#REF!</v>
      </c>
      <c r="H119" s="18"/>
      <c r="I119" s="18" t="e">
        <f t="shared" si="12"/>
        <v>#REF!</v>
      </c>
      <c r="J119" s="11" t="s">
        <v>139</v>
      </c>
      <c r="M119">
        <f>15287.1+3820.2</f>
        <v>19107.3</v>
      </c>
    </row>
    <row r="120" spans="1:13" ht="36" hidden="1" customHeight="1" outlineLevel="1">
      <c r="A120" s="15"/>
      <c r="B120" s="30" t="s">
        <v>155</v>
      </c>
      <c r="C120" s="17" t="s">
        <v>37</v>
      </c>
      <c r="D120" s="18" t="e">
        <f>D61*8%</f>
        <v>#REF!</v>
      </c>
      <c r="E120" s="18" t="e">
        <f>#REF!</f>
        <v>#REF!</v>
      </c>
      <c r="F120" s="18" t="e">
        <f>ROUND(E120/D120*100,1)</f>
        <v>#REF!</v>
      </c>
      <c r="G120" s="18" t="e">
        <f t="shared" si="11"/>
        <v>#REF!</v>
      </c>
      <c r="H120" s="18"/>
      <c r="I120" s="18" t="e">
        <f t="shared" si="12"/>
        <v>#REF!</v>
      </c>
      <c r="J120" s="11" t="s">
        <v>139</v>
      </c>
    </row>
    <row r="121" spans="1:13" ht="15.75" collapsed="1">
      <c r="A121" s="15"/>
      <c r="B121" s="52" t="s">
        <v>156</v>
      </c>
      <c r="C121" s="17" t="s">
        <v>37</v>
      </c>
      <c r="D121" s="6" t="e">
        <f>D102+D113+D107</f>
        <v>#REF!</v>
      </c>
      <c r="E121" s="18" t="e">
        <f>#REF!</f>
        <v>#REF!</v>
      </c>
      <c r="F121" s="6" t="e">
        <f>ROUND(E121/D121*100,1)</f>
        <v>#REF!</v>
      </c>
      <c r="G121" s="6" t="e">
        <f t="shared" si="11"/>
        <v>#REF!</v>
      </c>
      <c r="H121" s="6">
        <v>2052.181</v>
      </c>
      <c r="I121" s="6" t="e">
        <f t="shared" si="12"/>
        <v>#REF!</v>
      </c>
      <c r="J121" s="11" t="s">
        <v>139</v>
      </c>
    </row>
    <row r="122" spans="1:13" ht="15.75">
      <c r="A122" s="15" t="s">
        <v>157</v>
      </c>
      <c r="B122" s="52" t="s">
        <v>158</v>
      </c>
      <c r="C122" s="17" t="s">
        <v>37</v>
      </c>
      <c r="D122" s="6" t="s">
        <v>73</v>
      </c>
      <c r="E122" s="18" t="e">
        <f>#REF!</f>
        <v>#REF!</v>
      </c>
      <c r="F122" s="6" t="s">
        <v>73</v>
      </c>
      <c r="G122" s="6" t="s">
        <v>73</v>
      </c>
      <c r="H122" s="6">
        <v>47642.904000000002</v>
      </c>
      <c r="I122" s="6" t="s">
        <v>73</v>
      </c>
    </row>
    <row r="123" spans="1:13" ht="27" customHeight="1">
      <c r="A123" s="15"/>
      <c r="B123" s="77" t="s">
        <v>159</v>
      </c>
      <c r="C123" s="17" t="s">
        <v>37</v>
      </c>
      <c r="D123" s="6" t="s">
        <v>73</v>
      </c>
      <c r="E123" s="18" t="e">
        <f>#REF!</f>
        <v>#REF!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15"/>
      <c r="B124" s="16" t="s">
        <v>160</v>
      </c>
      <c r="C124" s="17" t="s">
        <v>37</v>
      </c>
      <c r="D124" s="18"/>
      <c r="E124" s="18" t="e">
        <f>#REF!</f>
        <v>#REF!</v>
      </c>
      <c r="F124" s="18"/>
      <c r="G124" s="18"/>
      <c r="H124" s="18" t="s">
        <v>73</v>
      </c>
      <c r="I124" s="18"/>
    </row>
    <row r="125" spans="1:13" ht="24" customHeight="1" collapsed="1">
      <c r="A125" s="15" t="s">
        <v>161</v>
      </c>
      <c r="B125" s="52" t="s">
        <v>162</v>
      </c>
      <c r="C125" s="17" t="s">
        <v>37</v>
      </c>
      <c r="D125" s="6">
        <f>SUM(D127:D130)</f>
        <v>364811.26600000006</v>
      </c>
      <c r="E125" s="18" t="e">
        <f>#REF!</f>
        <v>#REF!</v>
      </c>
      <c r="F125" s="6" t="e">
        <f t="shared" ref="F125:F130" si="13">ROUND(E125/D125*100,1)</f>
        <v>#REF!</v>
      </c>
      <c r="G125" s="6" t="e">
        <f t="shared" ref="G125:G151" si="14">E125-D125</f>
        <v>#REF!</v>
      </c>
      <c r="H125" s="37">
        <f>SUM(H127:H130)</f>
        <v>251578.20200000002</v>
      </c>
      <c r="I125" s="6" t="e">
        <f>ROUND(E125/H125*100,1)</f>
        <v>#REF!</v>
      </c>
      <c r="J125" s="11" t="s">
        <v>139</v>
      </c>
      <c r="M125" s="11"/>
    </row>
    <row r="126" spans="1:13" ht="15.75">
      <c r="A126" s="15"/>
      <c r="B126" s="15" t="s">
        <v>163</v>
      </c>
      <c r="C126" s="17" t="s">
        <v>37</v>
      </c>
      <c r="D126" s="18"/>
      <c r="E126" s="18" t="e">
        <f>#REF!</f>
        <v>#REF!</v>
      </c>
      <c r="F126" s="18"/>
      <c r="G126" s="18" t="e">
        <f t="shared" si="14"/>
        <v>#REF!</v>
      </c>
      <c r="H126" s="18">
        <v>265449.20699999999</v>
      </c>
      <c r="I126" s="18"/>
      <c r="M126" s="11"/>
    </row>
    <row r="127" spans="1:13" ht="19.5" customHeight="1">
      <c r="A127" s="15"/>
      <c r="B127" s="61" t="s">
        <v>164</v>
      </c>
      <c r="C127" s="17" t="s">
        <v>37</v>
      </c>
      <c r="D127" s="18">
        <v>175336.36600000001</v>
      </c>
      <c r="E127" s="18" t="e">
        <f>#REF!</f>
        <v>#REF!</v>
      </c>
      <c r="F127" s="18" t="e">
        <f t="shared" si="13"/>
        <v>#REF!</v>
      </c>
      <c r="G127" s="18" t="e">
        <f t="shared" si="14"/>
        <v>#REF!</v>
      </c>
      <c r="H127" s="18"/>
      <c r="I127" s="18" t="e">
        <f>ROUND(E127/H127*100,1)</f>
        <v>#REF!</v>
      </c>
      <c r="J127" s="11" t="s">
        <v>139</v>
      </c>
    </row>
    <row r="128" spans="1:13" ht="18" customHeight="1">
      <c r="A128" s="15"/>
      <c r="B128" s="61" t="s">
        <v>165</v>
      </c>
      <c r="C128" s="17" t="s">
        <v>37</v>
      </c>
      <c r="D128" s="18">
        <v>105436.89200000001</v>
      </c>
      <c r="E128" s="18" t="e">
        <f>#REF!</f>
        <v>#REF!</v>
      </c>
      <c r="F128" s="18" t="e">
        <f t="shared" si="13"/>
        <v>#REF!</v>
      </c>
      <c r="G128" s="18" t="e">
        <f t="shared" si="14"/>
        <v>#REF!</v>
      </c>
      <c r="H128" s="18">
        <v>100454.38499999999</v>
      </c>
      <c r="I128" s="18" t="e">
        <f>ROUND(E128/H128*100,1)</f>
        <v>#REF!</v>
      </c>
      <c r="J128" s="11" t="s">
        <v>139</v>
      </c>
    </row>
    <row r="129" spans="1:13" ht="31.5">
      <c r="A129" s="15"/>
      <c r="B129" s="61" t="s">
        <v>166</v>
      </c>
      <c r="C129" s="17" t="s">
        <v>37</v>
      </c>
      <c r="D129" s="18">
        <v>72643.63</v>
      </c>
      <c r="E129" s="18" t="e">
        <f>#REF!</f>
        <v>#REF!</v>
      </c>
      <c r="F129" s="18" t="e">
        <f t="shared" si="13"/>
        <v>#REF!</v>
      </c>
      <c r="G129" s="18" t="e">
        <f t="shared" si="14"/>
        <v>#REF!</v>
      </c>
      <c r="H129" s="18">
        <v>77803.706000000006</v>
      </c>
      <c r="I129" s="18" t="e">
        <f>ROUND(E129/H129*100,1)</f>
        <v>#REF!</v>
      </c>
      <c r="J129" s="11" t="s">
        <v>139</v>
      </c>
    </row>
    <row r="130" spans="1:13" ht="15.75">
      <c r="A130" s="15"/>
      <c r="B130" s="61" t="s">
        <v>167</v>
      </c>
      <c r="C130" s="17" t="s">
        <v>37</v>
      </c>
      <c r="D130" s="18">
        <v>11394.378000000001</v>
      </c>
      <c r="E130" s="18" t="e">
        <f>#REF!</f>
        <v>#REF!</v>
      </c>
      <c r="F130" s="18" t="e">
        <f t="shared" si="13"/>
        <v>#REF!</v>
      </c>
      <c r="G130" s="18" t="e">
        <f t="shared" si="14"/>
        <v>#REF!</v>
      </c>
      <c r="H130" s="18">
        <v>73320.111000000004</v>
      </c>
      <c r="I130" s="18" t="e">
        <f>ROUND(E130/H130*100,1)</f>
        <v>#REF!</v>
      </c>
      <c r="J130" s="11" t="s">
        <v>139</v>
      </c>
    </row>
    <row r="131" spans="1:13" ht="23.25" customHeight="1">
      <c r="A131" s="17" t="s">
        <v>168</v>
      </c>
      <c r="B131" s="78" t="s">
        <v>169</v>
      </c>
      <c r="C131" s="17" t="s">
        <v>37</v>
      </c>
      <c r="D131" s="18"/>
      <c r="E131" s="18" t="e">
        <f>#REF!</f>
        <v>#REF!</v>
      </c>
      <c r="F131" s="6"/>
      <c r="G131" s="6" t="e">
        <f>E131-D131</f>
        <v>#REF!</v>
      </c>
      <c r="H131" s="6">
        <v>13871.004999999999</v>
      </c>
      <c r="I131" s="6" t="e">
        <f>IF(H131&gt;0,ROUND(E131/H131*100,1),0)</f>
        <v>#REF!</v>
      </c>
      <c r="K131" t="s">
        <v>170</v>
      </c>
    </row>
    <row r="132" spans="1:13" ht="15.75">
      <c r="A132" s="15"/>
      <c r="B132" s="15" t="s">
        <v>12</v>
      </c>
      <c r="C132" s="17" t="s">
        <v>37</v>
      </c>
      <c r="D132" s="18"/>
      <c r="E132" s="18" t="e">
        <f>#REF!</f>
        <v>#REF!</v>
      </c>
      <c r="F132" s="18"/>
      <c r="G132" s="18" t="e">
        <f t="shared" si="14"/>
        <v>#REF!</v>
      </c>
      <c r="H132" s="18">
        <v>2429010</v>
      </c>
      <c r="I132" s="18"/>
    </row>
    <row r="133" spans="1:13" ht="24.75" customHeight="1">
      <c r="A133" s="15"/>
      <c r="B133" s="29" t="s">
        <v>171</v>
      </c>
      <c r="C133" s="17" t="s">
        <v>37</v>
      </c>
      <c r="D133" s="34"/>
      <c r="E133" s="18" t="e">
        <f>#REF!</f>
        <v>#REF!</v>
      </c>
      <c r="F133" s="34"/>
      <c r="G133" s="34" t="e">
        <f t="shared" si="14"/>
        <v>#REF!</v>
      </c>
      <c r="H133" s="34"/>
      <c r="I133" s="34">
        <f>IF(H133&gt;0,ROUND(E133/H133*100,1),0)</f>
        <v>0</v>
      </c>
      <c r="K133" t="s">
        <v>170</v>
      </c>
      <c r="L133" t="s">
        <v>170</v>
      </c>
      <c r="M133" t="s">
        <v>172</v>
      </c>
    </row>
    <row r="134" spans="1:13" ht="15.75">
      <c r="A134" s="15"/>
      <c r="B134" s="15" t="s">
        <v>163</v>
      </c>
      <c r="C134" s="17" t="s">
        <v>37</v>
      </c>
      <c r="D134" s="18"/>
      <c r="E134" s="18" t="e">
        <f>#REF!</f>
        <v>#REF!</v>
      </c>
      <c r="F134" s="18"/>
      <c r="G134" s="18" t="e">
        <f t="shared" si="14"/>
        <v>#REF!</v>
      </c>
      <c r="H134" s="18">
        <v>1946765</v>
      </c>
      <c r="I134" s="18"/>
    </row>
    <row r="135" spans="1:13" ht="15.75">
      <c r="A135" s="15"/>
      <c r="B135" s="61" t="s">
        <v>173</v>
      </c>
      <c r="C135" s="17" t="s">
        <v>37</v>
      </c>
      <c r="D135" s="18"/>
      <c r="E135" s="18" t="e">
        <f>#REF!</f>
        <v>#REF!</v>
      </c>
      <c r="F135" s="18"/>
      <c r="G135" s="18" t="e">
        <f t="shared" si="14"/>
        <v>#REF!</v>
      </c>
      <c r="H135" s="18"/>
      <c r="I135" s="18">
        <f>IF(H135&gt;0,ROUND(E135/H135*100,1),0)</f>
        <v>0</v>
      </c>
      <c r="K135" t="s">
        <v>170</v>
      </c>
      <c r="L135" t="s">
        <v>170</v>
      </c>
      <c r="M135" t="s">
        <v>174</v>
      </c>
    </row>
    <row r="136" spans="1:13" ht="15.75">
      <c r="A136" s="15"/>
      <c r="B136" s="61" t="s">
        <v>175</v>
      </c>
      <c r="C136" s="17" t="s">
        <v>37</v>
      </c>
      <c r="D136" s="18"/>
      <c r="E136" s="18" t="e">
        <f>#REF!</f>
        <v>#REF!</v>
      </c>
      <c r="F136" s="18"/>
      <c r="G136" s="18" t="e">
        <f t="shared" si="14"/>
        <v>#REF!</v>
      </c>
      <c r="H136" s="18">
        <v>1191857</v>
      </c>
      <c r="I136" s="18" t="e">
        <f>IF(H136&gt;0,ROUND(E136/H136*100,1),0)</f>
        <v>#REF!</v>
      </c>
      <c r="K136" t="s">
        <v>170</v>
      </c>
      <c r="L136" t="s">
        <v>170</v>
      </c>
      <c r="M136" t="s">
        <v>176</v>
      </c>
    </row>
    <row r="137" spans="1:13" ht="15.75">
      <c r="A137" s="15"/>
      <c r="B137" s="16" t="s">
        <v>177</v>
      </c>
      <c r="C137" s="17" t="s">
        <v>37</v>
      </c>
      <c r="D137" s="18"/>
      <c r="E137" s="18" t="e">
        <f>#REF!</f>
        <v>#REF!</v>
      </c>
      <c r="F137" s="18"/>
      <c r="G137" s="18" t="e">
        <f t="shared" si="14"/>
        <v>#REF!</v>
      </c>
      <c r="H137" s="18">
        <v>293</v>
      </c>
      <c r="I137" s="18" t="e">
        <f>IF(H137&gt;0,ROUND(E137/H137*100,1),0)</f>
        <v>#REF!</v>
      </c>
      <c r="K137" t="s">
        <v>170</v>
      </c>
      <c r="L137" t="s">
        <v>170</v>
      </c>
      <c r="M137" t="s">
        <v>178</v>
      </c>
    </row>
    <row r="138" spans="1:13" ht="15.75">
      <c r="A138" s="15"/>
      <c r="B138" s="15" t="s">
        <v>52</v>
      </c>
      <c r="C138" s="17" t="s">
        <v>37</v>
      </c>
      <c r="D138" s="18"/>
      <c r="E138" s="18" t="e">
        <f>#REF!</f>
        <v>#REF!</v>
      </c>
      <c r="F138" s="18"/>
      <c r="G138" s="18" t="e">
        <f t="shared" si="14"/>
        <v>#REF!</v>
      </c>
      <c r="H138" s="18">
        <v>482245</v>
      </c>
      <c r="I138" s="18"/>
      <c r="K138" t="s">
        <v>170</v>
      </c>
      <c r="L138" t="s">
        <v>170</v>
      </c>
    </row>
    <row r="139" spans="1:13" ht="20.25" customHeight="1">
      <c r="A139" s="79"/>
      <c r="B139" s="80" t="s">
        <v>179</v>
      </c>
      <c r="C139" s="17" t="s">
        <v>37</v>
      </c>
      <c r="D139" s="81"/>
      <c r="E139" s="18" t="e">
        <f>#REF!</f>
        <v>#REF!</v>
      </c>
      <c r="F139" s="18"/>
      <c r="G139" s="81" t="e">
        <f t="shared" si="14"/>
        <v>#REF!</v>
      </c>
      <c r="H139" s="81"/>
      <c r="I139" s="18">
        <f>IF(H139&gt;0,ROUND(E139/H139*100,1),0)</f>
        <v>0</v>
      </c>
      <c r="K139" t="s">
        <v>170</v>
      </c>
      <c r="L139" t="s">
        <v>170</v>
      </c>
      <c r="M139" t="s">
        <v>180</v>
      </c>
    </row>
    <row r="140" spans="1:13" ht="15.75">
      <c r="A140" s="15"/>
      <c r="B140" s="15" t="s">
        <v>163</v>
      </c>
      <c r="C140" s="17" t="s">
        <v>37</v>
      </c>
      <c r="D140" s="18"/>
      <c r="E140" s="18" t="e">
        <f>#REF!</f>
        <v>#REF!</v>
      </c>
      <c r="F140" s="18"/>
      <c r="G140" s="18" t="e">
        <f t="shared" si="14"/>
        <v>#REF!</v>
      </c>
      <c r="H140" s="18">
        <v>224792</v>
      </c>
      <c r="I140" s="18"/>
      <c r="K140" t="s">
        <v>170</v>
      </c>
      <c r="L140" t="s">
        <v>170</v>
      </c>
    </row>
    <row r="141" spans="1:13" ht="20.25" customHeight="1">
      <c r="A141" s="15"/>
      <c r="B141" s="61" t="s">
        <v>181</v>
      </c>
      <c r="C141" s="17" t="s">
        <v>37</v>
      </c>
      <c r="D141" s="18"/>
      <c r="E141" s="18" t="e">
        <f>#REF!</f>
        <v>#REF!</v>
      </c>
      <c r="F141" s="18"/>
      <c r="G141" s="18" t="e">
        <f t="shared" si="14"/>
        <v>#REF!</v>
      </c>
      <c r="H141" s="18"/>
      <c r="I141" s="18">
        <f>IF(H141&gt;0,ROUND(E141/H141*100,1),0)</f>
        <v>0</v>
      </c>
      <c r="K141" t="s">
        <v>170</v>
      </c>
      <c r="L141" t="s">
        <v>170</v>
      </c>
      <c r="M141" t="s">
        <v>182</v>
      </c>
    </row>
    <row r="142" spans="1:13" ht="15.75">
      <c r="A142" s="15"/>
      <c r="B142" s="61" t="s">
        <v>183</v>
      </c>
      <c r="C142" s="17" t="s">
        <v>37</v>
      </c>
      <c r="D142" s="18"/>
      <c r="E142" s="18" t="e">
        <f>#REF!</f>
        <v>#REF!</v>
      </c>
      <c r="F142" s="18"/>
      <c r="G142" s="18" t="e">
        <f t="shared" si="14"/>
        <v>#REF!</v>
      </c>
      <c r="H142" s="18">
        <v>90545</v>
      </c>
      <c r="I142" s="18" t="e">
        <f>IF(H142&gt;0,ROUND(E142/H142*100,1),0)</f>
        <v>#REF!</v>
      </c>
      <c r="K142" t="s">
        <v>170</v>
      </c>
      <c r="L142" t="s">
        <v>170</v>
      </c>
      <c r="M142" t="s">
        <v>184</v>
      </c>
    </row>
    <row r="143" spans="1:13" ht="15.75">
      <c r="A143" s="15"/>
      <c r="B143" s="80" t="s">
        <v>185</v>
      </c>
      <c r="C143" s="17" t="s">
        <v>37</v>
      </c>
      <c r="D143" s="18"/>
      <c r="E143" s="18" t="e">
        <f>#REF!</f>
        <v>#REF!</v>
      </c>
      <c r="F143" s="18"/>
      <c r="G143" s="18" t="e">
        <f>E143-D143</f>
        <v>#REF!</v>
      </c>
      <c r="H143" s="18">
        <v>127304</v>
      </c>
      <c r="I143" s="18" t="e">
        <f>IF(H143&gt;0,ROUND(E143/H143*100,1),0)</f>
        <v>#REF!</v>
      </c>
      <c r="K143" t="s">
        <v>170</v>
      </c>
      <c r="L143" t="s">
        <v>170</v>
      </c>
      <c r="M143" t="s">
        <v>186</v>
      </c>
    </row>
    <row r="144" spans="1:13" ht="18" customHeight="1">
      <c r="A144" s="15"/>
      <c r="B144" s="15" t="s">
        <v>163</v>
      </c>
      <c r="C144" s="17" t="s">
        <v>37</v>
      </c>
      <c r="D144" s="18"/>
      <c r="E144" s="18" t="e">
        <f>#REF!</f>
        <v>#REF!</v>
      </c>
      <c r="F144" s="18"/>
      <c r="G144" s="18" t="e">
        <f t="shared" si="14"/>
        <v>#REF!</v>
      </c>
      <c r="H144" s="18">
        <v>1671</v>
      </c>
      <c r="I144" s="18"/>
      <c r="K144" t="s">
        <v>170</v>
      </c>
      <c r="L144" t="s">
        <v>170</v>
      </c>
    </row>
    <row r="145" spans="1:12" ht="15.75">
      <c r="A145" s="15"/>
      <c r="B145" s="30" t="s">
        <v>187</v>
      </c>
      <c r="C145" s="17" t="s">
        <v>37</v>
      </c>
      <c r="D145" s="18"/>
      <c r="E145" s="18" t="e">
        <f>#REF!</f>
        <v>#REF!</v>
      </c>
      <c r="F145" s="18"/>
      <c r="G145" s="18" t="e">
        <f t="shared" si="14"/>
        <v>#REF!</v>
      </c>
      <c r="H145" s="18"/>
      <c r="I145" s="18">
        <f>IF(H145&gt;0,ROUND(E145/H145*100,1),0)</f>
        <v>0</v>
      </c>
      <c r="K145" t="s">
        <v>170</v>
      </c>
    </row>
    <row r="146" spans="1:12" ht="18.75" hidden="1" customHeight="1" outlineLevel="1">
      <c r="A146" s="15" t="s">
        <v>188</v>
      </c>
      <c r="B146" s="16" t="s">
        <v>189</v>
      </c>
      <c r="C146" s="17" t="s">
        <v>37</v>
      </c>
      <c r="D146" s="18"/>
      <c r="E146" s="18" t="e">
        <f>#REF!</f>
        <v>#REF!</v>
      </c>
      <c r="F146" s="18"/>
      <c r="G146" s="18" t="e">
        <f>E146-D146</f>
        <v>#REF!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15">
        <v>30</v>
      </c>
      <c r="B147" s="16" t="s">
        <v>190</v>
      </c>
      <c r="C147" s="17" t="s">
        <v>37</v>
      </c>
      <c r="D147" s="18"/>
      <c r="E147" s="18" t="e">
        <f>#REF!</f>
        <v>#REF!</v>
      </c>
      <c r="F147" s="18"/>
      <c r="G147" s="18" t="e">
        <f>E147-D147</f>
        <v>#REF!</v>
      </c>
      <c r="H147" s="18" t="e">
        <f>#REF!</f>
        <v>#REF!</v>
      </c>
      <c r="I147" s="18" t="e">
        <f>ROUND(E147/H147*100,1)</f>
        <v>#REF!</v>
      </c>
      <c r="K147" t="s">
        <v>170</v>
      </c>
      <c r="L147" t="s">
        <v>191</v>
      </c>
    </row>
    <row r="148" spans="1:12" ht="15.75" hidden="1" outlineLevel="1">
      <c r="A148" s="15"/>
      <c r="B148" s="15" t="s">
        <v>12</v>
      </c>
      <c r="C148" s="17" t="s">
        <v>37</v>
      </c>
      <c r="D148" s="18"/>
      <c r="E148" s="18" t="e">
        <f>#REF!</f>
        <v>#REF!</v>
      </c>
      <c r="F148" s="18"/>
      <c r="G148" s="18" t="e">
        <f t="shared" si="14"/>
        <v>#REF!</v>
      </c>
      <c r="H148" s="18" t="e">
        <f>#REF!</f>
        <v>#REF!</v>
      </c>
      <c r="I148" s="18"/>
      <c r="K148" t="s">
        <v>170</v>
      </c>
    </row>
    <row r="149" spans="1:12" ht="15.75" hidden="1" outlineLevel="1">
      <c r="A149" s="15"/>
      <c r="B149" s="16" t="s">
        <v>192</v>
      </c>
      <c r="C149" s="17" t="s">
        <v>37</v>
      </c>
      <c r="D149" s="18"/>
      <c r="E149" s="18" t="e">
        <f>#REF!</f>
        <v>#REF!</v>
      </c>
      <c r="F149" s="18"/>
      <c r="G149" s="18" t="e">
        <f t="shared" si="14"/>
        <v>#REF!</v>
      </c>
      <c r="H149" s="18" t="e">
        <f>#REF!</f>
        <v>#REF!</v>
      </c>
      <c r="I149" s="18"/>
      <c r="K149" t="s">
        <v>170</v>
      </c>
    </row>
    <row r="150" spans="1:12" ht="15.75" hidden="1" outlineLevel="1">
      <c r="A150" s="15"/>
      <c r="B150" s="16" t="s">
        <v>193</v>
      </c>
      <c r="C150" s="17" t="s">
        <v>37</v>
      </c>
      <c r="D150" s="18"/>
      <c r="E150" s="18" t="e">
        <f>#REF!</f>
        <v>#REF!</v>
      </c>
      <c r="F150" s="18"/>
      <c r="G150" s="18" t="e">
        <f t="shared" si="14"/>
        <v>#REF!</v>
      </c>
      <c r="H150" s="18" t="e">
        <f>#REF!</f>
        <v>#REF!</v>
      </c>
      <c r="I150" s="18" t="e">
        <f>ROUND(E150/H150*100,1)</f>
        <v>#REF!</v>
      </c>
      <c r="K150" t="s">
        <v>170</v>
      </c>
    </row>
    <row r="151" spans="1:12" ht="15.75" collapsed="1">
      <c r="A151" s="15">
        <v>31</v>
      </c>
      <c r="B151" s="16" t="s">
        <v>194</v>
      </c>
      <c r="C151" s="17" t="s">
        <v>37</v>
      </c>
      <c r="D151" s="18"/>
      <c r="E151" s="18" t="e">
        <f>#REF!</f>
        <v>#REF!</v>
      </c>
      <c r="F151" s="18"/>
      <c r="G151" s="18" t="e">
        <f t="shared" si="14"/>
        <v>#REF!</v>
      </c>
      <c r="H151" s="18" t="e">
        <f>#REF!</f>
        <v>#REF!</v>
      </c>
      <c r="I151" s="18" t="e">
        <f>ROUND(E151/H151*100,1)</f>
        <v>#REF!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40"/>
      <c r="F152" s="40"/>
      <c r="G152" s="40"/>
      <c r="H152" s="41">
        <v>198879</v>
      </c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40"/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40"/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40"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40"/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'[2]2019'!$G$164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'[3]2019'!B168</f>
        <v>Начальник ОЭАиП</v>
      </c>
      <c r="C166" s="46"/>
      <c r="D166" s="46"/>
      <c r="E166" s="46"/>
      <c r="F166" s="48"/>
      <c r="G166" s="46" t="s">
        <v>203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71"/>
  <sheetViews>
    <sheetView showZeros="0" view="pageBreakPreview" zoomScale="90" zoomScaleNormal="100" zoomScaleSheetLayoutView="90" workbookViewId="0">
      <pane ySplit="3" topLeftCell="A146" activePane="bottomLeft" state="frozen"/>
      <selection activeCell="K11" sqref="K11"/>
      <selection pane="bottomLeft" activeCell="C164" sqref="C164"/>
    </sheetView>
  </sheetViews>
  <sheetFormatPr defaultRowHeight="12.75" outlineLevelRow="1" outlineLevelCol="1"/>
  <cols>
    <col min="1" max="1" width="6.140625" bestFit="1" customWidth="1"/>
    <col min="2" max="2" width="56.140625" customWidth="1"/>
    <col min="3" max="3" width="10" customWidth="1" outlineLevel="1"/>
    <col min="4" max="4" width="11.85546875" customWidth="1" outlineLevel="1"/>
    <col min="5" max="5" width="13.42578125" customWidth="1" outlineLevel="1"/>
    <col min="6" max="6" width="9.7109375" customWidth="1" outlineLevel="1"/>
    <col min="7" max="7" width="12.42578125" customWidth="1" outlineLevel="1"/>
    <col min="8" max="8" width="13.28515625" customWidth="1"/>
    <col min="9" max="9" width="11.140625" customWidth="1"/>
    <col min="10" max="10" width="8.7109375" customWidth="1" outlineLevel="1"/>
    <col min="11" max="11" width="13.28515625" customWidth="1" outlineLevel="1"/>
    <col min="12" max="12" width="12.42578125" customWidth="1" outlineLevel="1"/>
    <col min="13" max="13" width="13.5703125" customWidth="1" outlineLevel="1"/>
    <col min="14" max="14" width="12" customWidth="1" outlineLevel="1"/>
  </cols>
  <sheetData>
    <row r="1" spans="1:10" ht="48" customHeight="1">
      <c r="A1" s="282" t="s">
        <v>287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288</v>
      </c>
      <c r="E2" s="289"/>
      <c r="F2" s="289"/>
      <c r="G2" s="289"/>
      <c r="H2" s="290" t="s">
        <v>289</v>
      </c>
      <c r="I2" s="288" t="s">
        <v>3</v>
      </c>
    </row>
    <row r="3" spans="1:10" ht="29.45" customHeight="1">
      <c r="A3" s="286"/>
      <c r="B3" s="287"/>
      <c r="C3" s="287"/>
      <c r="D3" s="263" t="s">
        <v>4</v>
      </c>
      <c r="E3" s="262" t="s">
        <v>282</v>
      </c>
      <c r="F3" s="262" t="s">
        <v>6</v>
      </c>
      <c r="G3" s="262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65">
        <f>D7+D8+D9</f>
        <v>6200</v>
      </c>
      <c r="E5" s="265">
        <f>E7+E8+E9</f>
        <v>6765.9416000000001</v>
      </c>
      <c r="F5" s="265">
        <f>ROUND(E5/D5*100,1)</f>
        <v>109.1</v>
      </c>
      <c r="G5" s="265">
        <f>E5-D5</f>
        <v>565.94160000000011</v>
      </c>
      <c r="H5" s="6">
        <v>5835.96</v>
      </c>
      <c r="I5" s="6">
        <f>IF(H5&gt;0,ROUND(E5/H5*100,1),0)</f>
        <v>115.9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/>
      <c r="I6" s="7"/>
    </row>
    <row r="7" spans="1:10" ht="15.75">
      <c r="A7" s="7"/>
      <c r="B7" s="218" t="s">
        <v>13</v>
      </c>
      <c r="C7" s="7" t="s">
        <v>11</v>
      </c>
      <c r="D7" s="34">
        <v>4946</v>
      </c>
      <c r="E7" s="34">
        <v>5483.2356</v>
      </c>
      <c r="F7" s="34">
        <f>ROUND(E7/D7*100,1)</f>
        <v>110.9</v>
      </c>
      <c r="G7" s="34">
        <f>E7-D7</f>
        <v>537.23559999999998</v>
      </c>
      <c r="H7" s="34">
        <v>4947.076</v>
      </c>
      <c r="I7" s="9">
        <f>IF(H7&gt;0,ROUND(E7/H7*100,1),0)</f>
        <v>110.8</v>
      </c>
    </row>
    <row r="8" spans="1:10" ht="15.75">
      <c r="A8" s="7"/>
      <c r="B8" s="218" t="s">
        <v>14</v>
      </c>
      <c r="C8" s="7" t="s">
        <v>11</v>
      </c>
      <c r="D8" s="34">
        <v>54</v>
      </c>
      <c r="E8" s="34">
        <v>61.610999999999997</v>
      </c>
      <c r="F8" s="34">
        <f>ROUND(E8/D8*100,1)</f>
        <v>114.1</v>
      </c>
      <c r="G8" s="34">
        <f>E8-D8</f>
        <v>7.6109999999999971</v>
      </c>
      <c r="H8" s="34">
        <v>57.526000000000003</v>
      </c>
      <c r="I8" s="9">
        <f>IF(H8&gt;0,ROUND(E8/H8*100,1),0)</f>
        <v>107.1</v>
      </c>
    </row>
    <row r="9" spans="1:10" ht="15.75">
      <c r="A9" s="7"/>
      <c r="B9" s="218" t="s">
        <v>15</v>
      </c>
      <c r="C9" s="7" t="s">
        <v>11</v>
      </c>
      <c r="D9" s="34">
        <v>1200</v>
      </c>
      <c r="E9" s="34">
        <v>1221.095</v>
      </c>
      <c r="F9" s="34">
        <f>ROUND(E9/D9*100,1)</f>
        <v>101.8</v>
      </c>
      <c r="G9" s="34">
        <f>E9-D9</f>
        <v>21.095000000000027</v>
      </c>
      <c r="H9" s="34">
        <v>831.35799999999995</v>
      </c>
      <c r="I9" s="9">
        <f>IF(H9&gt;0,ROUND(E9/H9*100,1),0)</f>
        <v>146.9</v>
      </c>
    </row>
    <row r="10" spans="1:10" ht="15.75">
      <c r="A10" s="7" t="s">
        <v>16</v>
      </c>
      <c r="B10" s="217" t="s">
        <v>17</v>
      </c>
      <c r="C10" s="264" t="s">
        <v>11</v>
      </c>
      <c r="D10" s="6">
        <f>D12+D13</f>
        <v>850</v>
      </c>
      <c r="E10" s="6">
        <f>E12+E13</f>
        <v>412.755</v>
      </c>
      <c r="F10" s="265">
        <f>ROUND(E10/D10*100,1)</f>
        <v>48.6</v>
      </c>
      <c r="G10" s="265">
        <f>E10-D10</f>
        <v>-437.245</v>
      </c>
      <c r="H10" s="6">
        <v>866.58699999999999</v>
      </c>
      <c r="I10" s="264">
        <f t="shared" ref="I10:I28" si="0">IF(H10&gt;0,ROUND(E10/H10*100,1),0)</f>
        <v>47.6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500</v>
      </c>
      <c r="E12" s="34">
        <v>225.36600000000001</v>
      </c>
      <c r="F12" s="34">
        <f>ROUND(E12/D12*100,1)</f>
        <v>45.1</v>
      </c>
      <c r="G12" s="34">
        <f>E12-D12</f>
        <v>-274.63400000000001</v>
      </c>
      <c r="H12" s="34">
        <v>325.221</v>
      </c>
      <c r="I12" s="9">
        <f t="shared" si="0"/>
        <v>69.3</v>
      </c>
    </row>
    <row r="13" spans="1:10" ht="15.75">
      <c r="A13" s="7"/>
      <c r="B13" s="218" t="s">
        <v>19</v>
      </c>
      <c r="C13" s="7" t="s">
        <v>11</v>
      </c>
      <c r="D13" s="34">
        <v>350</v>
      </c>
      <c r="E13" s="34">
        <v>187.38900000000001</v>
      </c>
      <c r="F13" s="34">
        <f>ROUND(E13/D13*100,1)</f>
        <v>53.5</v>
      </c>
      <c r="G13" s="34">
        <f>E13-D13</f>
        <v>-162.61099999999999</v>
      </c>
      <c r="H13" s="34">
        <v>541.36599999999999</v>
      </c>
      <c r="I13" s="9">
        <f t="shared" si="0"/>
        <v>34.6</v>
      </c>
    </row>
    <row r="14" spans="1:10" ht="15.75">
      <c r="A14" s="7" t="s">
        <v>20</v>
      </c>
      <c r="B14" s="217" t="s">
        <v>21</v>
      </c>
      <c r="C14" s="89" t="s">
        <v>11</v>
      </c>
      <c r="D14" s="265">
        <f>D16+D17+D18</f>
        <v>6063.8</v>
      </c>
      <c r="E14" s="265">
        <f>E16+E17+E18</f>
        <v>5882.6799000000001</v>
      </c>
      <c r="F14" s="265">
        <f>ROUND(E14/D14*100,1)</f>
        <v>97</v>
      </c>
      <c r="G14" s="265">
        <f>E14-D14</f>
        <v>-181.12010000000009</v>
      </c>
      <c r="H14" s="6">
        <v>5396.7219999999998</v>
      </c>
      <c r="I14" s="9">
        <f t="shared" si="0"/>
        <v>109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4909.8</v>
      </c>
      <c r="E16" s="34">
        <v>4910.9598999999998</v>
      </c>
      <c r="F16" s="34">
        <f>ROUND(E16/D16*100,1)</f>
        <v>100</v>
      </c>
      <c r="G16" s="34">
        <f>E16-D16</f>
        <v>1.1598999999996522</v>
      </c>
      <c r="H16" s="34">
        <v>4547.835</v>
      </c>
      <c r="I16" s="9">
        <f t="shared" si="0"/>
        <v>108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54</v>
      </c>
      <c r="E17" s="34">
        <v>61.372</v>
      </c>
      <c r="F17" s="34">
        <f>ROUND(E17/D17*100,1)</f>
        <v>113.7</v>
      </c>
      <c r="G17" s="34">
        <f>E17-D17</f>
        <v>7.3719999999999999</v>
      </c>
      <c r="H17" s="34">
        <v>57.595999999999997</v>
      </c>
      <c r="I17" s="9">
        <f t="shared" si="0"/>
        <v>106.6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v>1100</v>
      </c>
      <c r="E18" s="34">
        <v>910.34799999999996</v>
      </c>
      <c r="F18" s="34">
        <f>ROUND(E18/D18*100,1)</f>
        <v>82.8</v>
      </c>
      <c r="G18" s="34">
        <f>E18-D18</f>
        <v>-189.65200000000004</v>
      </c>
      <c r="H18" s="18">
        <v>791.29100000000005</v>
      </c>
      <c r="I18" s="9">
        <f t="shared" si="0"/>
        <v>115</v>
      </c>
    </row>
    <row r="19" spans="1:12" ht="18.75">
      <c r="A19" s="7" t="s">
        <v>23</v>
      </c>
      <c r="B19" s="217" t="s">
        <v>24</v>
      </c>
      <c r="C19" s="89" t="s">
        <v>25</v>
      </c>
      <c r="D19" s="265">
        <f>D21+D22+D23+D24</f>
        <v>48600</v>
      </c>
      <c r="E19" s="265">
        <f>E21+E22+E23+E24</f>
        <v>28099.576000000001</v>
      </c>
      <c r="F19" s="265">
        <f>ROUND(E19/D19*100,1)</f>
        <v>57.8</v>
      </c>
      <c r="G19" s="265">
        <f>E19-D19</f>
        <v>-20500.423999999999</v>
      </c>
      <c r="H19" s="6">
        <v>23102.03</v>
      </c>
      <c r="I19" s="9">
        <f t="shared" si="0"/>
        <v>121.6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6069.6</v>
      </c>
      <c r="E21" s="34">
        <v>4509.0640000000003</v>
      </c>
      <c r="F21" s="34">
        <f>ROUND(E21/D21*100,1)</f>
        <v>74.3</v>
      </c>
      <c r="G21" s="34">
        <f t="shared" ref="G21:G31" si="1">E21-D21</f>
        <v>-1560.5360000000001</v>
      </c>
      <c r="H21" s="34">
        <v>6133.5119999999997</v>
      </c>
      <c r="I21" s="9">
        <f t="shared" si="0"/>
        <v>73.5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42530.400000000001</v>
      </c>
      <c r="E22" s="34">
        <v>23590.511999999999</v>
      </c>
      <c r="F22" s="34">
        <f>ROUND(E22/D22*100,1)</f>
        <v>55.5</v>
      </c>
      <c r="G22" s="34">
        <f t="shared" si="1"/>
        <v>-18939.888000000003</v>
      </c>
      <c r="H22" s="34">
        <v>16968.518</v>
      </c>
      <c r="I22" s="9">
        <f t="shared" si="0"/>
        <v>139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/>
      <c r="E24" s="195"/>
      <c r="F24" s="195">
        <v>0</v>
      </c>
      <c r="G24" s="195">
        <v>0</v>
      </c>
      <c r="H24" s="34"/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1600</v>
      </c>
      <c r="E25" s="18">
        <v>1500</v>
      </c>
      <c r="F25" s="18">
        <f t="shared" ref="F25:F29" si="2">ROUND(E25/D25*100,1)</f>
        <v>93.8</v>
      </c>
      <c r="G25" s="18">
        <f t="shared" si="1"/>
        <v>-100</v>
      </c>
      <c r="H25" s="34">
        <v>2543</v>
      </c>
      <c r="I25" s="9">
        <f t="shared" si="0"/>
        <v>59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1492179.5649999999</v>
      </c>
      <c r="E26" s="18">
        <v>1596778.03</v>
      </c>
      <c r="F26" s="18">
        <f t="shared" si="2"/>
        <v>107</v>
      </c>
      <c r="G26" s="18">
        <f t="shared" si="1"/>
        <v>104598.46500000008</v>
      </c>
      <c r="H26" s="18">
        <v>1409048.3089999999</v>
      </c>
      <c r="I26" s="18">
        <f t="shared" si="0"/>
        <v>113.3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224.1</v>
      </c>
      <c r="E27" s="242">
        <f>990/1000</f>
        <v>0.99</v>
      </c>
      <c r="F27" s="18">
        <f t="shared" si="2"/>
        <v>0.4</v>
      </c>
      <c r="G27" s="18">
        <f>E27-D27</f>
        <v>-223.10999999999999</v>
      </c>
      <c r="H27" s="34">
        <v>76.680000000000007</v>
      </c>
      <c r="I27" s="18">
        <f t="shared" si="0"/>
        <v>1.3</v>
      </c>
      <c r="J27" t="s">
        <v>22</v>
      </c>
      <c r="K27"/>
    </row>
    <row r="28" spans="1:12" ht="31.5">
      <c r="A28" s="7" t="s">
        <v>39</v>
      </c>
      <c r="B28" s="219" t="s">
        <v>225</v>
      </c>
      <c r="C28" s="18" t="s">
        <v>37</v>
      </c>
      <c r="D28" s="18">
        <v>296925.41499999998</v>
      </c>
      <c r="E28" s="18">
        <v>324050.06099999999</v>
      </c>
      <c r="F28" s="18">
        <f t="shared" si="2"/>
        <v>109.1</v>
      </c>
      <c r="G28" s="18">
        <f t="shared" si="1"/>
        <v>27124.646000000008</v>
      </c>
      <c r="H28" s="18">
        <v>350472.84600000002</v>
      </c>
      <c r="I28" s="9">
        <f t="shared" si="0"/>
        <v>92.5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5270.3</v>
      </c>
      <c r="E29" s="18">
        <v>5718.6</v>
      </c>
      <c r="F29" s="18">
        <f t="shared" si="2"/>
        <v>108.5</v>
      </c>
      <c r="G29" s="18">
        <f t="shared" si="1"/>
        <v>448.30000000000018</v>
      </c>
      <c r="H29" s="34">
        <v>5493.2</v>
      </c>
      <c r="I29" s="9">
        <f>IF(H29&gt;0,ROUND(E29/H29*100,1),0)</f>
        <v>104.1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44</v>
      </c>
      <c r="B32" s="219" t="s">
        <v>48</v>
      </c>
      <c r="C32" s="18" t="s">
        <v>37</v>
      </c>
      <c r="D32" s="23"/>
      <c r="E32" s="23"/>
      <c r="F32" s="23"/>
      <c r="G32" s="23"/>
      <c r="H32" s="18">
        <v>0</v>
      </c>
      <c r="I32" s="18">
        <f>IF(H32&gt;0,ROUND(E32/H32*100,1),0)</f>
        <v>0</v>
      </c>
    </row>
    <row r="33" spans="1:10" ht="15.75">
      <c r="A33" s="7" t="s">
        <v>47</v>
      </c>
      <c r="B33" s="217" t="s">
        <v>50</v>
      </c>
      <c r="C33" s="18" t="s">
        <v>37</v>
      </c>
      <c r="D33" s="26">
        <f>D35+D39+D40+D41+D42+D43+D45+D44</f>
        <v>151021.52774999992</v>
      </c>
      <c r="E33" s="26">
        <f>E35+E39+E40+E41+E42+E43+E45+E44</f>
        <v>214135.63899999991</v>
      </c>
      <c r="F33" s="26">
        <f t="shared" ref="F33" si="3">ROUND(E33/D33*100,1)</f>
        <v>141.80000000000001</v>
      </c>
      <c r="G33" s="26">
        <f t="shared" ref="G33:G44" si="4">E33-D33</f>
        <v>63114.111249999987</v>
      </c>
      <c r="H33" s="26">
        <v>190382.96399999998</v>
      </c>
      <c r="I33" s="26">
        <f>IF(H33&gt;0,ROUND(E33/H33*100,1),0)</f>
        <v>112.5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4"/>
        <v>0</v>
      </c>
      <c r="H34" s="28"/>
      <c r="I34" s="28"/>
    </row>
    <row r="35" spans="1:10" ht="15.75">
      <c r="A35" s="34"/>
      <c r="B35" s="223" t="s">
        <v>53</v>
      </c>
      <c r="C35" s="18" t="s">
        <v>37</v>
      </c>
      <c r="D35" s="28">
        <f>D37+D38</f>
        <v>5693.0917499999423</v>
      </c>
      <c r="E35" s="28">
        <f>E96</f>
        <v>36882.734999999891</v>
      </c>
      <c r="F35" s="28"/>
      <c r="G35" s="28">
        <f t="shared" si="4"/>
        <v>31189.64324999995</v>
      </c>
      <c r="H35" s="28">
        <v>54055.03499999996</v>
      </c>
      <c r="I35" s="28">
        <f>IF(H35&gt;0,ROUND(E35/H35*100,1),0)</f>
        <v>68.2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8"/>
      <c r="E36" s="28"/>
      <c r="F36" s="28"/>
      <c r="G36" s="28"/>
      <c r="H36" s="28"/>
      <c r="I36" s="28"/>
    </row>
    <row r="37" spans="1:10" ht="15.75">
      <c r="A37" s="34"/>
      <c r="B37" s="224" t="s">
        <v>55</v>
      </c>
      <c r="C37" s="18" t="s">
        <v>37</v>
      </c>
      <c r="D37" s="28">
        <f>D96</f>
        <v>5693.0917499999423</v>
      </c>
      <c r="E37" s="28">
        <f>E35</f>
        <v>36882.734999999891</v>
      </c>
      <c r="F37" s="28">
        <f t="shared" ref="F37" si="5">ROUND(E37/D37*100,1)</f>
        <v>647.9</v>
      </c>
      <c r="G37" s="28">
        <f t="shared" ref="G37" si="6">E37-D37</f>
        <v>31189.64324999995</v>
      </c>
      <c r="H37" s="28">
        <v>54055.03499999996</v>
      </c>
      <c r="I37" s="28">
        <f>IF(H37&gt;0,ROUND(E37/H37*100,1),0)</f>
        <v>68.2</v>
      </c>
    </row>
    <row r="38" spans="1:10" ht="15.75">
      <c r="A38" s="34"/>
      <c r="B38" s="224" t="s">
        <v>56</v>
      </c>
      <c r="C38" s="18" t="s">
        <v>37</v>
      </c>
      <c r="D38" s="28">
        <v>0</v>
      </c>
      <c r="E38" s="28">
        <v>0</v>
      </c>
      <c r="F38" s="28"/>
      <c r="G38" s="28">
        <f t="shared" si="4"/>
        <v>0</v>
      </c>
      <c r="H38" s="28">
        <v>0</v>
      </c>
      <c r="I38" s="28"/>
    </row>
    <row r="39" spans="1:10" ht="15.75">
      <c r="A39" s="34"/>
      <c r="B39" s="223" t="s">
        <v>57</v>
      </c>
      <c r="C39" s="18" t="s">
        <v>37</v>
      </c>
      <c r="D39" s="28">
        <f>D129</f>
        <v>145328.43599999999</v>
      </c>
      <c r="E39" s="28">
        <f>E129</f>
        <v>177252.90400000001</v>
      </c>
      <c r="F39" s="28">
        <f t="shared" ref="F39" si="7">ROUND(E39/D39*100,1)</f>
        <v>122</v>
      </c>
      <c r="G39" s="28">
        <f t="shared" si="4"/>
        <v>31924.468000000023</v>
      </c>
      <c r="H39" s="28">
        <v>136327.929</v>
      </c>
      <c r="I39" s="28">
        <f>IF(H39&gt;0,ROUND(E39/H39*100,1),0)</f>
        <v>130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4"/>
        <v>0</v>
      </c>
      <c r="H40" s="28"/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4"/>
        <v>0</v>
      </c>
      <c r="H41" s="28"/>
      <c r="I41" s="28"/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4"/>
        <v>0</v>
      </c>
      <c r="H42" s="28"/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4"/>
        <v>0</v>
      </c>
      <c r="H43" s="28"/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4"/>
        <v>0</v>
      </c>
      <c r="H44" s="28"/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28"/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49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67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76</v>
      </c>
      <c r="B59" s="220" t="s">
        <v>85</v>
      </c>
      <c r="C59" s="18" t="s">
        <v>86</v>
      </c>
      <c r="D59" s="28">
        <v>6112</v>
      </c>
      <c r="E59" s="28">
        <v>5615</v>
      </c>
      <c r="F59" s="28">
        <f>ROUND(E59/D59*100,1)</f>
        <v>91.9</v>
      </c>
      <c r="G59" s="28">
        <f>E59-D59</f>
        <v>-497</v>
      </c>
      <c r="H59" s="28">
        <v>5573</v>
      </c>
      <c r="I59" s="28">
        <f t="shared" ref="I59:I64" si="8">IF(H59&gt;0,ROUND(E59/H59*100,1),0)</f>
        <v>100.8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8"/>
        <v>0</v>
      </c>
    </row>
    <row r="61" spans="1:12" ht="15.75" collapsed="1">
      <c r="A61" s="34" t="s">
        <v>84</v>
      </c>
      <c r="B61" s="220" t="s">
        <v>92</v>
      </c>
      <c r="C61" s="18" t="s">
        <v>37</v>
      </c>
      <c r="D61" s="33">
        <v>429250.9</v>
      </c>
      <c r="E61" s="33">
        <v>425086.6</v>
      </c>
      <c r="F61" s="28">
        <f>ROUND(E61/D61*100,1)</f>
        <v>99</v>
      </c>
      <c r="G61" s="28">
        <f>E61-D61</f>
        <v>-4164.3000000000466</v>
      </c>
      <c r="H61" s="28">
        <v>346803.5</v>
      </c>
      <c r="I61" s="28">
        <f t="shared" si="8"/>
        <v>122.6</v>
      </c>
      <c r="J61" t="s">
        <v>87</v>
      </c>
    </row>
    <row r="62" spans="1:12" ht="15.75">
      <c r="A62" s="34" t="s">
        <v>88</v>
      </c>
      <c r="B62" s="220" t="s">
        <v>94</v>
      </c>
      <c r="C62" s="18" t="s">
        <v>95</v>
      </c>
      <c r="D62" s="28">
        <v>5832.6</v>
      </c>
      <c r="E62" s="28">
        <v>6280.7</v>
      </c>
      <c r="F62" s="28">
        <f>ROUND(E62/D62*100,1)</f>
        <v>107.7</v>
      </c>
      <c r="G62" s="28">
        <f>E62-D62</f>
        <v>448.09999999999945</v>
      </c>
      <c r="H62" s="28">
        <v>5151.6000000000004</v>
      </c>
      <c r="I62" s="28">
        <f t="shared" si="8"/>
        <v>121.9</v>
      </c>
      <c r="J62" t="s">
        <v>87</v>
      </c>
      <c r="L62">
        <v>563699649</v>
      </c>
    </row>
    <row r="63" spans="1:12" ht="15.75">
      <c r="A63" s="34" t="s">
        <v>91</v>
      </c>
      <c r="B63" s="220" t="s">
        <v>97</v>
      </c>
      <c r="C63" s="18" t="s">
        <v>37</v>
      </c>
      <c r="D63" s="18"/>
      <c r="E63" s="18">
        <v>2378849</v>
      </c>
      <c r="F63" s="28"/>
      <c r="G63" s="18"/>
      <c r="H63" s="28">
        <v>2024962</v>
      </c>
      <c r="I63" s="18">
        <f t="shared" si="8"/>
        <v>117.5</v>
      </c>
      <c r="J63" t="s">
        <v>58</v>
      </c>
      <c r="L63">
        <v>461145397.5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28"/>
      <c r="I64" s="59">
        <f t="shared" si="8"/>
        <v>0</v>
      </c>
      <c r="J64" s="31"/>
    </row>
    <row r="65" spans="1:13" ht="15.75" collapsed="1">
      <c r="A65" s="34" t="s">
        <v>93</v>
      </c>
      <c r="B65" s="220" t="s">
        <v>101</v>
      </c>
      <c r="C65" s="18" t="s">
        <v>102</v>
      </c>
      <c r="D65" s="60">
        <v>223033.8</v>
      </c>
      <c r="E65" s="28">
        <v>185682.88</v>
      </c>
      <c r="F65" s="28">
        <f>ROUND(E65/D65*100,1)</f>
        <v>83.3</v>
      </c>
      <c r="G65" s="28">
        <f>E65-D65</f>
        <v>-37350.919999999984</v>
      </c>
      <c r="H65" s="28">
        <v>143593.76999999999</v>
      </c>
      <c r="I65" s="28">
        <f>ROUND(E65/H65*100,1)</f>
        <v>129.30000000000001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96</v>
      </c>
      <c r="B70" s="220" t="s">
        <v>108</v>
      </c>
      <c r="C70" s="18" t="s">
        <v>37</v>
      </c>
      <c r="D70" s="28">
        <v>1759523.213</v>
      </c>
      <c r="E70" s="18">
        <v>1588768.63</v>
      </c>
      <c r="F70" s="18">
        <f t="shared" ref="F70:F96" si="9">ROUND(E70/D70*100,1)</f>
        <v>90.3</v>
      </c>
      <c r="G70" s="18">
        <f>E70-D70</f>
        <v>-170754.5830000001</v>
      </c>
      <c r="H70" s="18">
        <v>1356588.612</v>
      </c>
      <c r="I70" s="18">
        <f t="shared" ref="I70:I85" si="10">ROUND(E70/H70*100,1)</f>
        <v>117.1</v>
      </c>
      <c r="J70" t="s">
        <v>103</v>
      </c>
      <c r="M70">
        <f>1759313-152984-76292-1017231</f>
        <v>512806</v>
      </c>
    </row>
    <row r="71" spans="1:13" ht="15.75">
      <c r="A71" s="34" t="s">
        <v>98</v>
      </c>
      <c r="B71" s="220" t="s">
        <v>110</v>
      </c>
      <c r="C71" s="18" t="s">
        <v>37</v>
      </c>
      <c r="D71" s="28">
        <v>1412997.9450000001</v>
      </c>
      <c r="E71" s="18">
        <v>1087758.655</v>
      </c>
      <c r="F71" s="18">
        <f t="shared" si="9"/>
        <v>77</v>
      </c>
      <c r="G71" s="18">
        <f>E71-D71</f>
        <v>-325239.29000000004</v>
      </c>
      <c r="H71" s="18">
        <v>798809.17599999998</v>
      </c>
      <c r="I71" s="18">
        <f t="shared" si="10"/>
        <v>136.19999999999999</v>
      </c>
      <c r="J71" t="s">
        <v>103</v>
      </c>
    </row>
    <row r="72" spans="1:13" ht="15.75">
      <c r="A72" s="34" t="s">
        <v>100</v>
      </c>
      <c r="B72" s="220" t="s">
        <v>112</v>
      </c>
      <c r="C72" s="18" t="s">
        <v>37</v>
      </c>
      <c r="D72" s="33">
        <f>D70-D71</f>
        <v>346525.26799999992</v>
      </c>
      <c r="E72" s="33">
        <f>E70-E71</f>
        <v>501009.97499999986</v>
      </c>
      <c r="F72" s="34">
        <f t="shared" si="9"/>
        <v>144.6</v>
      </c>
      <c r="G72" s="18">
        <f>E72-D72</f>
        <v>154484.70699999994</v>
      </c>
      <c r="H72" s="18">
        <v>557779.43599999999</v>
      </c>
      <c r="I72" s="34">
        <f t="shared" si="10"/>
        <v>89.8</v>
      </c>
      <c r="J72" t="s">
        <v>103</v>
      </c>
      <c r="M72" s="11">
        <f>D72-D73</f>
        <v>114438.95499999993</v>
      </c>
    </row>
    <row r="73" spans="1:13" ht="15.75">
      <c r="A73" s="34" t="s">
        <v>107</v>
      </c>
      <c r="B73" s="227" t="s">
        <v>113</v>
      </c>
      <c r="C73" s="18" t="s">
        <v>37</v>
      </c>
      <c r="D73" s="26">
        <f>D74+D75+D76</f>
        <v>232086.31299999999</v>
      </c>
      <c r="E73" s="6">
        <f>E74+E75+E76</f>
        <v>337413.21399999998</v>
      </c>
      <c r="F73" s="6">
        <f t="shared" si="9"/>
        <v>145.4</v>
      </c>
      <c r="G73" s="6">
        <f t="shared" ref="G73:G96" si="11">E73-D73</f>
        <v>105326.90099999998</v>
      </c>
      <c r="H73" s="18">
        <v>309098.435</v>
      </c>
      <c r="I73" s="6">
        <f t="shared" si="10"/>
        <v>109.2</v>
      </c>
      <c r="J73" t="s">
        <v>103</v>
      </c>
      <c r="M73" s="11">
        <f>M72+D77</f>
        <v>114438.95499999993</v>
      </c>
    </row>
    <row r="74" spans="1:13" ht="15.75">
      <c r="A74" s="34"/>
      <c r="B74" s="228" t="s">
        <v>114</v>
      </c>
      <c r="C74" s="18" t="s">
        <v>37</v>
      </c>
      <c r="D74" s="28">
        <v>7717.4579999999996</v>
      </c>
      <c r="E74" s="34">
        <v>14146.669</v>
      </c>
      <c r="F74" s="34">
        <f t="shared" si="9"/>
        <v>183.3</v>
      </c>
      <c r="G74" s="18">
        <f t="shared" si="11"/>
        <v>6429.2110000000002</v>
      </c>
      <c r="H74" s="18">
        <v>11814.968999999999</v>
      </c>
      <c r="I74" s="34">
        <f t="shared" si="10"/>
        <v>119.7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75421.091</v>
      </c>
      <c r="E75" s="34">
        <v>77192.678</v>
      </c>
      <c r="F75" s="18">
        <f t="shared" si="9"/>
        <v>102.3</v>
      </c>
      <c r="G75" s="18">
        <f t="shared" si="11"/>
        <v>1771.5869999999995</v>
      </c>
      <c r="H75" s="18">
        <v>65146.998</v>
      </c>
      <c r="I75" s="18">
        <f t="shared" si="10"/>
        <v>118.5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148947.764</v>
      </c>
      <c r="E76" s="34">
        <v>246073.867</v>
      </c>
      <c r="F76" s="18">
        <f t="shared" si="9"/>
        <v>165.2</v>
      </c>
      <c r="G76" s="18">
        <f t="shared" si="11"/>
        <v>97126.103000000003</v>
      </c>
      <c r="H76" s="18">
        <v>232136.46799999999</v>
      </c>
      <c r="I76" s="18">
        <f t="shared" si="10"/>
        <v>106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34">
        <v>55159.235999999997</v>
      </c>
      <c r="F77" s="18"/>
      <c r="G77" s="18">
        <f t="shared" si="11"/>
        <v>55159.235999999997</v>
      </c>
      <c r="H77" s="18">
        <v>23626.213</v>
      </c>
      <c r="I77" s="18">
        <f t="shared" si="10"/>
        <v>233.5</v>
      </c>
      <c r="J77" t="s">
        <v>103</v>
      </c>
    </row>
    <row r="78" spans="1:13" ht="15.75">
      <c r="A78" s="34"/>
      <c r="B78" s="220" t="s">
        <v>277</v>
      </c>
      <c r="C78" s="18" t="s">
        <v>37</v>
      </c>
      <c r="D78" s="28"/>
      <c r="E78" s="34">
        <v>0</v>
      </c>
      <c r="F78" s="18"/>
      <c r="G78" s="18">
        <f t="shared" si="11"/>
        <v>0</v>
      </c>
      <c r="H78" s="18">
        <v>0</v>
      </c>
      <c r="I78" s="18" t="e">
        <f t="shared" si="10"/>
        <v>#DIV/0!</v>
      </c>
      <c r="J78" t="s">
        <v>103</v>
      </c>
    </row>
    <row r="79" spans="1:13" ht="15.75">
      <c r="A79" s="34"/>
      <c r="B79" s="220" t="s">
        <v>118</v>
      </c>
      <c r="C79" s="18" t="s">
        <v>37</v>
      </c>
      <c r="D79" s="28">
        <v>107741.2</v>
      </c>
      <c r="E79" s="34">
        <v>177803.416</v>
      </c>
      <c r="F79" s="18">
        <f t="shared" si="9"/>
        <v>165</v>
      </c>
      <c r="G79" s="18">
        <f t="shared" si="11"/>
        <v>70062.216</v>
      </c>
      <c r="H79" s="18">
        <v>208357.27600000001</v>
      </c>
      <c r="I79" s="18">
        <f t="shared" si="10"/>
        <v>85.3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9"/>
        <v>#DIV/0!</v>
      </c>
      <c r="G80" s="18">
        <f t="shared" si="11"/>
        <v>0</v>
      </c>
      <c r="H80" s="18"/>
      <c r="I80" s="18" t="e">
        <f t="shared" si="10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9"/>
        <v>#DIV/0!</v>
      </c>
      <c r="G81" s="18">
        <f t="shared" si="11"/>
        <v>0</v>
      </c>
      <c r="H81" s="18"/>
      <c r="I81" s="18" t="e">
        <f t="shared" si="10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9"/>
        <v>#DIV/0!</v>
      </c>
      <c r="G82" s="18">
        <f t="shared" si="11"/>
        <v>0</v>
      </c>
      <c r="H82" s="18"/>
      <c r="I82" s="18" t="e">
        <f t="shared" si="10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9"/>
        <v>#DIV/0!</v>
      </c>
      <c r="G83" s="18">
        <f t="shared" si="11"/>
        <v>0</v>
      </c>
      <c r="H83" s="18"/>
      <c r="I83" s="18" t="e">
        <f t="shared" si="10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9"/>
        <v>#DIV/0!</v>
      </c>
      <c r="G84" s="18">
        <f t="shared" si="11"/>
        <v>0</v>
      </c>
      <c r="H84" s="18"/>
      <c r="I84" s="18" t="e">
        <f t="shared" si="10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9"/>
        <v>#DIV/0!</v>
      </c>
      <c r="G85" s="18">
        <f t="shared" si="11"/>
        <v>0</v>
      </c>
      <c r="H85" s="18"/>
      <c r="I85" s="18" t="e">
        <f t="shared" si="10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9"/>
        <v>#DIV/0!</v>
      </c>
      <c r="G86" s="18">
        <f t="shared" si="11"/>
        <v>0</v>
      </c>
      <c r="H86" s="18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9"/>
        <v>#DIV/0!</v>
      </c>
      <c r="G87" s="18">
        <f t="shared" si="11"/>
        <v>0</v>
      </c>
      <c r="H87" s="18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9"/>
        <v>#DIV/0!</v>
      </c>
      <c r="G88" s="18">
        <f t="shared" si="11"/>
        <v>0</v>
      </c>
      <c r="H88" s="18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D72-D73+D77-D79</f>
        <v>6697.7549999999319</v>
      </c>
      <c r="E89" s="26">
        <f>E72-E73+E77+E78-E79</f>
        <v>40952.580999999889</v>
      </c>
      <c r="F89" s="6">
        <f t="shared" si="9"/>
        <v>611.4</v>
      </c>
      <c r="G89" s="6">
        <f t="shared" si="11"/>
        <v>34254.825999999957</v>
      </c>
      <c r="H89" s="18">
        <v>63949.937999999966</v>
      </c>
      <c r="I89" s="6">
        <f t="shared" ref="I89:I96" si="12">ROUND(E89/H89*100,1)</f>
        <v>64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 t="s">
        <v>73</v>
      </c>
      <c r="E90" s="195"/>
      <c r="F90" s="195">
        <v>0</v>
      </c>
      <c r="G90" s="195">
        <v>0</v>
      </c>
      <c r="H90" s="18"/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11"/>
        <v>-15.822778173897415</v>
      </c>
      <c r="H91" s="18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6697.7549999999319</v>
      </c>
      <c r="E92" s="34">
        <f>E89</f>
        <v>40952.580999999889</v>
      </c>
      <c r="F92" s="18">
        <f t="shared" si="9"/>
        <v>611.4</v>
      </c>
      <c r="G92" s="18">
        <f t="shared" si="11"/>
        <v>34254.825999999957</v>
      </c>
      <c r="H92" s="18">
        <v>63949.937999999966</v>
      </c>
      <c r="I92" s="18">
        <f t="shared" si="12"/>
        <v>64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f>D92*15%</f>
        <v>1004.6632499999897</v>
      </c>
      <c r="E93" s="195">
        <v>4069.846</v>
      </c>
      <c r="F93" s="195">
        <v>0</v>
      </c>
      <c r="G93" s="195">
        <v>0</v>
      </c>
      <c r="H93" s="18">
        <v>9850.5290000000005</v>
      </c>
      <c r="I93" s="195">
        <v>0</v>
      </c>
      <c r="J93" t="s">
        <v>103</v>
      </c>
    </row>
    <row r="94" spans="1:10" ht="15.75">
      <c r="A94" s="34"/>
      <c r="B94" s="220" t="s">
        <v>279</v>
      </c>
      <c r="C94" s="18" t="s">
        <v>37</v>
      </c>
      <c r="D94" s="33">
        <v>0</v>
      </c>
      <c r="E94" s="34">
        <v>0</v>
      </c>
      <c r="F94" s="18"/>
      <c r="G94" s="18">
        <f t="shared" si="11"/>
        <v>0</v>
      </c>
      <c r="H94" s="18">
        <v>44.374000000000002</v>
      </c>
      <c r="I94" s="18"/>
      <c r="J94" t="s">
        <v>103</v>
      </c>
    </row>
    <row r="95" spans="1:10" ht="15.75" hidden="1" outlineLevel="1">
      <c r="A95" s="34"/>
      <c r="B95" s="220" t="s">
        <v>131</v>
      </c>
      <c r="C95" s="18" t="s">
        <v>37</v>
      </c>
      <c r="D95" s="33"/>
      <c r="E95" s="34"/>
      <c r="F95" s="18" t="e">
        <f t="shared" si="9"/>
        <v>#DIV/0!</v>
      </c>
      <c r="G95" s="18">
        <f t="shared" si="11"/>
        <v>0</v>
      </c>
      <c r="H95" s="18"/>
      <c r="I95" s="18" t="e">
        <f t="shared" si="12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5693.0917499999423</v>
      </c>
      <c r="E96" s="34">
        <f>E92-E93-E94</f>
        <v>36882.734999999891</v>
      </c>
      <c r="F96" s="18">
        <f t="shared" si="9"/>
        <v>647.9</v>
      </c>
      <c r="G96" s="18">
        <f t="shared" si="11"/>
        <v>31189.64324999995</v>
      </c>
      <c r="H96" s="18">
        <v>54055.03499999996</v>
      </c>
      <c r="I96" s="18">
        <f t="shared" si="12"/>
        <v>68.2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34" t="s">
        <v>109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178919.66324999998</v>
      </c>
      <c r="E102" s="6">
        <f>E103+E106</f>
        <v>10639.678</v>
      </c>
      <c r="F102" s="6">
        <f>ROUND(E102/D102*100,1)</f>
        <v>5.9</v>
      </c>
      <c r="G102" s="6">
        <f>E102-D102</f>
        <v>-168279.98524999997</v>
      </c>
      <c r="H102" s="18">
        <v>98533.93299999999</v>
      </c>
      <c r="I102" s="6">
        <f>ROUND(E102/H102*100,1)</f>
        <v>10.8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1004.6632499999897</v>
      </c>
      <c r="E103" s="195">
        <f>E93</f>
        <v>4069.846</v>
      </c>
      <c r="F103" s="195">
        <v>0</v>
      </c>
      <c r="G103" s="195">
        <v>0</v>
      </c>
      <c r="H103" s="18">
        <v>9850.5290000000005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18"/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3">E105-D105</f>
        <v>0</v>
      </c>
      <c r="H105" s="18"/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>
        <v>177915</v>
      </c>
      <c r="E106" s="18">
        <v>6569.8320000000003</v>
      </c>
      <c r="F106" s="18">
        <f>ROUND(E106/D106*100,1)</f>
        <v>3.7</v>
      </c>
      <c r="G106" s="34">
        <f t="shared" si="13"/>
        <v>-171345.16800000001</v>
      </c>
      <c r="H106" s="18">
        <v>88683.403999999995</v>
      </c>
      <c r="I106" s="18">
        <f>ROUND(E106/H106*100,1)</f>
        <v>7.4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82396.36</v>
      </c>
      <c r="E107" s="6">
        <f>SUM(E108:E112)</f>
        <v>95385.404999999999</v>
      </c>
      <c r="F107" s="6">
        <f>ROUND(E107/D107*100,1)</f>
        <v>115.8</v>
      </c>
      <c r="G107" s="6">
        <f t="shared" si="13"/>
        <v>12989.044999999998</v>
      </c>
      <c r="H107" s="6">
        <v>71639.396999999997</v>
      </c>
      <c r="I107" s="6">
        <f>IF(H107&gt;0,ROUND(E107/H107*100,1),0)</f>
        <v>133.1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>
        <v>4001.3</v>
      </c>
      <c r="F108" s="6"/>
      <c r="G108" s="18">
        <f t="shared" si="13"/>
        <v>4001.3</v>
      </c>
      <c r="H108" s="18"/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3218.5659999999998</v>
      </c>
      <c r="E109" s="34">
        <v>3786.3980000000001</v>
      </c>
      <c r="F109" s="18">
        <f>ROUND(E109/D109*100,1)</f>
        <v>117.6</v>
      </c>
      <c r="G109" s="18">
        <f t="shared" si="13"/>
        <v>567.83200000000033</v>
      </c>
      <c r="H109" s="18">
        <v>3816.3029999999999</v>
      </c>
      <c r="I109" s="34">
        <f>ROUND(E109/H109*100,1)</f>
        <v>99.2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1254.133</v>
      </c>
      <c r="E110" s="34">
        <v>1386.4079999999999</v>
      </c>
      <c r="F110" s="18">
        <f>ROUND(E110/D110*100,1)</f>
        <v>110.5</v>
      </c>
      <c r="G110" s="18">
        <f t="shared" si="13"/>
        <v>132.27499999999986</v>
      </c>
      <c r="H110" s="18">
        <v>1145.08</v>
      </c>
      <c r="I110" s="34">
        <f>ROUND(E110/H110*100,1)</f>
        <v>121.1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15577.38</v>
      </c>
      <c r="E111" s="34">
        <v>22213.358</v>
      </c>
      <c r="F111" s="18">
        <f>ROUND(E111/D111*100,1)</f>
        <v>142.6</v>
      </c>
      <c r="G111" s="18">
        <f t="shared" si="13"/>
        <v>6635.978000000001</v>
      </c>
      <c r="H111" s="18">
        <v>15577.566999999999</v>
      </c>
      <c r="I111" s="34">
        <f>ROUND(E111/H111*100,1)</f>
        <v>142.6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62346.281000000003</v>
      </c>
      <c r="E112" s="34">
        <v>63997.940999999999</v>
      </c>
      <c r="F112" s="18">
        <f>ROUND(E112/D112*100,1)</f>
        <v>102.6</v>
      </c>
      <c r="G112" s="18">
        <f t="shared" si="13"/>
        <v>1651.6599999999962</v>
      </c>
      <c r="H112" s="18">
        <v>51100.447</v>
      </c>
      <c r="I112" s="34">
        <f>ROUND(E112/H112*100,1)</f>
        <v>125.2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91697.600000000006</v>
      </c>
      <c r="E113" s="6">
        <f>SUM(E115:E120)</f>
        <v>60618.917000000001</v>
      </c>
      <c r="F113" s="6">
        <f>ROUND(E113/D113*100,1)</f>
        <v>66.099999999999994</v>
      </c>
      <c r="G113" s="6">
        <f t="shared" si="13"/>
        <v>-31078.683000000005</v>
      </c>
      <c r="H113" s="18">
        <v>60810.083999999995</v>
      </c>
      <c r="I113" s="6">
        <f>ROUND(E113/H113*100,1)</f>
        <v>99.7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18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0" si="14">E115-D115</f>
        <v>0</v>
      </c>
      <c r="H115" s="18"/>
      <c r="I115" s="18" t="e">
        <f t="shared" ref="I115:I121" si="15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4"/>
        <v>0</v>
      </c>
      <c r="H116" s="18"/>
      <c r="I116" s="18" t="e">
        <f t="shared" si="15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f>D61*12%</f>
        <v>51510.108</v>
      </c>
      <c r="E117" s="18">
        <v>50774</v>
      </c>
      <c r="F117" s="18">
        <f>ROUND(E117/D117*100,1)</f>
        <v>98.6</v>
      </c>
      <c r="G117" s="18">
        <f t="shared" si="14"/>
        <v>-736.10800000000017</v>
      </c>
      <c r="H117" s="18">
        <v>52195.093999999997</v>
      </c>
      <c r="I117" s="18">
        <f t="shared" si="15"/>
        <v>97.3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5847.42</v>
      </c>
      <c r="E118" s="35">
        <f>8272.535+1572.382</f>
        <v>9844.9169999999995</v>
      </c>
      <c r="F118" s="18">
        <f>ROUND(E118/D118*100,1)</f>
        <v>168.4</v>
      </c>
      <c r="G118" s="35">
        <f t="shared" si="14"/>
        <v>3997.4969999999994</v>
      </c>
      <c r="H118" s="18">
        <v>8614.99</v>
      </c>
      <c r="I118" s="18">
        <f t="shared" si="15"/>
        <v>114.3</v>
      </c>
      <c r="J118" s="11" t="s">
        <v>139</v>
      </c>
      <c r="L118" s="11">
        <f>218347.615-E121</f>
        <v>51703.614999999991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4"/>
        <v>0</v>
      </c>
      <c r="H119" s="18"/>
      <c r="I119" s="18" t="e">
        <f t="shared" si="15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34340.072</v>
      </c>
      <c r="E120" s="18"/>
      <c r="F120" s="18">
        <f>ROUND(E120/D120*100,1)</f>
        <v>0</v>
      </c>
      <c r="G120" s="18">
        <f t="shared" si="14"/>
        <v>-34340.072</v>
      </c>
      <c r="H120" s="18"/>
      <c r="I120" s="18" t="e">
        <f t="shared" si="15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353013.62324999995</v>
      </c>
      <c r="E121" s="6">
        <f>E102+E113+E107</f>
        <v>166644</v>
      </c>
      <c r="F121" s="6">
        <f>ROUND(E121/D121*100,1)</f>
        <v>47.2</v>
      </c>
      <c r="G121" s="6">
        <f>E121-D121</f>
        <v>-186369.62324999995</v>
      </c>
      <c r="H121" s="6">
        <v>230983.41399999999</v>
      </c>
      <c r="I121" s="6">
        <f t="shared" si="15"/>
        <v>72.099999999999994</v>
      </c>
      <c r="J121" s="11" t="s">
        <v>139</v>
      </c>
    </row>
    <row r="122" spans="1:13" ht="15.75">
      <c r="A122" s="34" t="s">
        <v>111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18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 collapsed="1">
      <c r="A125" s="34" t="s">
        <v>278</v>
      </c>
      <c r="B125" s="227" t="s">
        <v>162</v>
      </c>
      <c r="C125" s="18" t="s">
        <v>37</v>
      </c>
      <c r="D125" s="6">
        <f>SUM(D127:D130)</f>
        <v>1412997.9450000001</v>
      </c>
      <c r="E125" s="6">
        <f>SUM(E127:E130)</f>
        <v>1268119.6920000003</v>
      </c>
      <c r="F125" s="6">
        <f t="shared" ref="F125:F130" si="16">ROUND(E125/D125*100,1)</f>
        <v>89.7</v>
      </c>
      <c r="G125" s="6">
        <f t="shared" ref="G125:G147" si="17">E125-D125</f>
        <v>-144878.25299999979</v>
      </c>
      <c r="H125" s="6">
        <v>876163.88399999996</v>
      </c>
      <c r="I125" s="6">
        <f>ROUND(E125/H125*100,1)</f>
        <v>144.69999999999999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7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179012.97</v>
      </c>
      <c r="E127" s="18">
        <v>124018.31600000001</v>
      </c>
      <c r="F127" s="18">
        <f t="shared" si="16"/>
        <v>69.3</v>
      </c>
      <c r="G127" s="18">
        <f t="shared" si="17"/>
        <v>-54994.653999999995</v>
      </c>
      <c r="H127" s="18">
        <v>439642.283</v>
      </c>
      <c r="I127" s="18">
        <f>ROUND(E127/H127*100,1)</f>
        <v>28.2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v>362073.29300000001</v>
      </c>
      <c r="E128" s="18">
        <f>299417.303+35931.49</f>
        <v>335348.79300000001</v>
      </c>
      <c r="F128" s="18">
        <f t="shared" si="16"/>
        <v>92.6</v>
      </c>
      <c r="G128" s="18">
        <f t="shared" si="17"/>
        <v>-26724.5</v>
      </c>
      <c r="H128" s="18">
        <v>264166.67800000001</v>
      </c>
      <c r="I128" s="18">
        <f>ROUND(E128/H128*100,1)</f>
        <v>126.9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145328.43599999999</v>
      </c>
      <c r="E129" s="18">
        <v>177252.90400000001</v>
      </c>
      <c r="F129" s="18">
        <f t="shared" si="16"/>
        <v>122</v>
      </c>
      <c r="G129" s="18">
        <f t="shared" si="17"/>
        <v>31924.468000000023</v>
      </c>
      <c r="H129" s="18">
        <v>136327.929</v>
      </c>
      <c r="I129" s="18">
        <f>ROUND(E129/H129*100,1)</f>
        <v>130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726583.24600000004</v>
      </c>
      <c r="E130" s="18">
        <f>228757.847+2328.122+286246.091+73652.702+40514.917</f>
        <v>631499.67900000012</v>
      </c>
      <c r="F130" s="18">
        <f t="shared" si="16"/>
        <v>86.9</v>
      </c>
      <c r="G130" s="18">
        <f t="shared" si="17"/>
        <v>-95083.566999999923</v>
      </c>
      <c r="H130" s="18">
        <v>36026.993999999999</v>
      </c>
      <c r="I130" s="18">
        <f>ROUND(E130/H130*100,1)</f>
        <v>1752.9</v>
      </c>
      <c r="J130" s="11" t="s">
        <v>139</v>
      </c>
    </row>
    <row r="131" spans="1:13" ht="23.25" customHeight="1">
      <c r="A131" s="18" t="s">
        <v>136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18"/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7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18">
        <v>1660572.1</v>
      </c>
      <c r="F133" s="18"/>
      <c r="G133" s="18">
        <f t="shared" si="17"/>
        <v>1660572.1</v>
      </c>
      <c r="H133" s="18">
        <v>1533349.588</v>
      </c>
      <c r="I133" s="18">
        <f>IF(H133&gt;0,ROUND(E133/H133*100,1),0)</f>
        <v>108.3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7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1354422.9580000001</v>
      </c>
      <c r="F135" s="18"/>
      <c r="G135" s="18">
        <f t="shared" si="17"/>
        <v>1354422.9580000001</v>
      </c>
      <c r="H135" s="18">
        <v>804125.076</v>
      </c>
      <c r="I135" s="18">
        <f t="shared" ref="I135:I144" si="18">IF(H135&gt;0,ROUND(E135/H135*100,1),0)</f>
        <v>168.4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42.515999999999998</v>
      </c>
      <c r="F136" s="18"/>
      <c r="G136" s="18">
        <f t="shared" si="17"/>
        <v>42.515999999999998</v>
      </c>
      <c r="H136" s="18">
        <v>67.058999999999997</v>
      </c>
      <c r="I136" s="18">
        <f t="shared" si="18"/>
        <v>63.4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v>984710.01500000001</v>
      </c>
      <c r="F137" s="18"/>
      <c r="G137" s="18">
        <f t="shared" si="17"/>
        <v>984710.01500000001</v>
      </c>
      <c r="H137" s="18">
        <v>244179.08299999998</v>
      </c>
      <c r="I137" s="18">
        <f t="shared" si="18"/>
        <v>403.3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7"/>
        <v>0</v>
      </c>
      <c r="H138" s="18"/>
      <c r="I138" s="18">
        <f t="shared" si="18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v>468312.81900000002</v>
      </c>
      <c r="F139" s="18"/>
      <c r="G139" s="81">
        <f t="shared" si="17"/>
        <v>468312.81900000002</v>
      </c>
      <c r="H139" s="18">
        <v>242644.27499999999</v>
      </c>
      <c r="I139" s="18">
        <f t="shared" si="18"/>
        <v>193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7"/>
        <v>0</v>
      </c>
      <c r="H140" s="18"/>
      <c r="I140" s="18">
        <f t="shared" si="18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165970.54199999999</v>
      </c>
      <c r="F141" s="18"/>
      <c r="G141" s="18">
        <f t="shared" si="17"/>
        <v>165970.54199999999</v>
      </c>
      <c r="H141" s="18">
        <v>119448.99400000001</v>
      </c>
      <c r="I141" s="18">
        <f t="shared" si="18"/>
        <v>138.9</v>
      </c>
      <c r="K141" t="s">
        <v>170</v>
      </c>
      <c r="L141" t="s">
        <v>170</v>
      </c>
      <c r="M141" t="s">
        <v>182</v>
      </c>
    </row>
    <row r="142" spans="1:13" ht="20.25" customHeight="1">
      <c r="A142" s="34" t="s">
        <v>280</v>
      </c>
      <c r="B142" s="228" t="s">
        <v>281</v>
      </c>
      <c r="C142" s="18" t="s">
        <v>37</v>
      </c>
      <c r="D142" s="18"/>
      <c r="E142" s="18"/>
      <c r="F142" s="18"/>
      <c r="G142" s="18"/>
      <c r="H142" s="18">
        <v>10149.686</v>
      </c>
      <c r="I142" s="18"/>
    </row>
    <row r="143" spans="1:13" ht="15.75">
      <c r="A143" s="34"/>
      <c r="B143" s="228" t="s">
        <v>183</v>
      </c>
      <c r="C143" s="18" t="s">
        <v>37</v>
      </c>
      <c r="D143" s="18"/>
      <c r="E143" s="18">
        <v>293197.67</v>
      </c>
      <c r="F143" s="18"/>
      <c r="G143" s="18">
        <f t="shared" si="17"/>
        <v>293197.67</v>
      </c>
      <c r="H143" s="18">
        <v>113045.595</v>
      </c>
      <c r="I143" s="18">
        <f t="shared" si="18"/>
        <v>259.39999999999998</v>
      </c>
      <c r="K143" t="s">
        <v>170</v>
      </c>
      <c r="L143" t="s">
        <v>170</v>
      </c>
      <c r="M143" t="s">
        <v>184</v>
      </c>
    </row>
    <row r="144" spans="1:13" ht="15.75">
      <c r="A144" s="34"/>
      <c r="B144" s="237" t="s">
        <v>185</v>
      </c>
      <c r="C144" s="18" t="s">
        <v>37</v>
      </c>
      <c r="D144" s="18"/>
      <c r="E144" s="18">
        <v>150743.34599999999</v>
      </c>
      <c r="F144" s="18"/>
      <c r="G144" s="18">
        <f>E144-D144</f>
        <v>150743.34599999999</v>
      </c>
      <c r="H144" s="18">
        <v>1534.808</v>
      </c>
      <c r="I144" s="18">
        <f t="shared" si="18"/>
        <v>9821.6</v>
      </c>
      <c r="K144" t="s">
        <v>170</v>
      </c>
      <c r="L144" t="s">
        <v>170</v>
      </c>
      <c r="M144" t="s">
        <v>186</v>
      </c>
    </row>
    <row r="145" spans="1:12" ht="18" customHeight="1">
      <c r="A145" s="34"/>
      <c r="B145" s="34" t="s">
        <v>163</v>
      </c>
      <c r="C145" s="18" t="s">
        <v>37</v>
      </c>
      <c r="D145" s="18"/>
      <c r="E145" s="18"/>
      <c r="F145" s="18"/>
      <c r="G145" s="18">
        <f t="shared" si="17"/>
        <v>0</v>
      </c>
      <c r="H145" s="18"/>
      <c r="I145" s="18"/>
      <c r="K145" t="s">
        <v>170</v>
      </c>
      <c r="L145" t="s">
        <v>170</v>
      </c>
    </row>
    <row r="146" spans="1:12" ht="15.75">
      <c r="A146" s="34"/>
      <c r="B146" s="224" t="s">
        <v>187</v>
      </c>
      <c r="C146" s="18" t="s">
        <v>37</v>
      </c>
      <c r="D146" s="18"/>
      <c r="E146" s="18"/>
      <c r="F146" s="18"/>
      <c r="G146" s="18">
        <f t="shared" si="17"/>
        <v>0</v>
      </c>
      <c r="H146" s="18">
        <v>1489.5889999999999</v>
      </c>
      <c r="I146" s="18">
        <f>IF(H146&gt;0,ROUND(E146/H146*100,1),0)</f>
        <v>0</v>
      </c>
      <c r="K146" t="s">
        <v>170</v>
      </c>
    </row>
    <row r="147" spans="1:12" ht="18.75" hidden="1" customHeight="1" outlineLevel="1">
      <c r="A147" s="34" t="s">
        <v>188</v>
      </c>
      <c r="B147" s="220" t="s">
        <v>189</v>
      </c>
      <c r="C147" s="18" t="s">
        <v>37</v>
      </c>
      <c r="D147" s="35"/>
      <c r="E147" s="18"/>
      <c r="F147" s="18"/>
      <c r="G147" s="18">
        <f t="shared" si="17"/>
        <v>0</v>
      </c>
      <c r="H147" s="18"/>
      <c r="I147" s="18">
        <f>IF(H147&gt;0,ROUND(D147/H147*100,1),0)</f>
        <v>0</v>
      </c>
      <c r="K147" t="s">
        <v>170</v>
      </c>
    </row>
    <row r="148" spans="1:12" ht="15.75" collapsed="1">
      <c r="A148" s="34" t="s">
        <v>157</v>
      </c>
      <c r="B148" s="220" t="s">
        <v>190</v>
      </c>
      <c r="C148" s="258" t="s">
        <v>37</v>
      </c>
      <c r="D148" s="266">
        <v>385560</v>
      </c>
      <c r="E148" s="259">
        <v>242439.24400000001</v>
      </c>
      <c r="F148" s="18">
        <f>E148/D148*100</f>
        <v>62.879770723104059</v>
      </c>
      <c r="G148" s="18">
        <f>E148-D148</f>
        <v>-143120.75599999999</v>
      </c>
      <c r="H148" s="18">
        <v>408467.37</v>
      </c>
      <c r="I148" s="18">
        <f>ROUND(E148/H148*100,1)</f>
        <v>59.4</v>
      </c>
      <c r="K148" t="s">
        <v>170</v>
      </c>
      <c r="L148" t="s">
        <v>191</v>
      </c>
    </row>
    <row r="149" spans="1:12" ht="15.75" hidden="1" customHeight="1" outlineLevel="1">
      <c r="A149" s="34"/>
      <c r="B149" s="34" t="s">
        <v>12</v>
      </c>
      <c r="C149" s="258" t="s">
        <v>37</v>
      </c>
      <c r="D149" s="267"/>
      <c r="E149" s="259"/>
      <c r="F149" s="18" t="e">
        <f t="shared" ref="F149:F152" si="19">E149/D149*100</f>
        <v>#DIV/0!</v>
      </c>
      <c r="G149" s="18">
        <f t="shared" ref="G149:G152" si="20">E149-D149</f>
        <v>0</v>
      </c>
      <c r="H149" s="18"/>
      <c r="I149" s="18"/>
      <c r="K149" t="s">
        <v>170</v>
      </c>
    </row>
    <row r="150" spans="1:12" ht="15.75" hidden="1" outlineLevel="1">
      <c r="A150" s="34"/>
      <c r="B150" s="220" t="s">
        <v>192</v>
      </c>
      <c r="C150" s="258" t="s">
        <v>37</v>
      </c>
      <c r="D150" s="18"/>
      <c r="E150" s="259"/>
      <c r="F150" s="18" t="e">
        <f t="shared" si="19"/>
        <v>#DIV/0!</v>
      </c>
      <c r="G150" s="18">
        <f t="shared" si="20"/>
        <v>0</v>
      </c>
      <c r="H150" s="18"/>
      <c r="I150" s="18"/>
      <c r="K150" t="s">
        <v>170</v>
      </c>
    </row>
    <row r="151" spans="1:12" ht="15.75" hidden="1" outlineLevel="1">
      <c r="A151" s="34"/>
      <c r="B151" s="220" t="s">
        <v>193</v>
      </c>
      <c r="C151" s="258" t="s">
        <v>37</v>
      </c>
      <c r="D151" s="18"/>
      <c r="E151" s="259"/>
      <c r="F151" s="18" t="e">
        <f t="shared" si="19"/>
        <v>#DIV/0!</v>
      </c>
      <c r="G151" s="18">
        <f t="shared" si="20"/>
        <v>0</v>
      </c>
      <c r="H151" s="18"/>
      <c r="I151" s="18" t="e">
        <f>ROUND(E151/H151*100,1)</f>
        <v>#DIV/0!</v>
      </c>
      <c r="K151" t="s">
        <v>170</v>
      </c>
    </row>
    <row r="152" spans="1:12" ht="15.75" collapsed="1">
      <c r="A152" s="34" t="s">
        <v>161</v>
      </c>
      <c r="B152" s="220" t="s">
        <v>194</v>
      </c>
      <c r="C152" s="258" t="s">
        <v>37</v>
      </c>
      <c r="D152" s="267">
        <v>270308.5</v>
      </c>
      <c r="E152" s="259">
        <v>459645.20400000003</v>
      </c>
      <c r="F152" s="18">
        <f t="shared" si="19"/>
        <v>170.04467266105209</v>
      </c>
      <c r="G152" s="18">
        <f t="shared" si="20"/>
        <v>189336.70400000003</v>
      </c>
      <c r="H152" s="18">
        <v>322300.05800000002</v>
      </c>
      <c r="I152" s="18">
        <f>ROUND(E152/H152*100,1)</f>
        <v>142.6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260"/>
      <c r="E153" s="34">
        <f>'[13]1-полугод 2023 г. без.сп.над '!E152</f>
        <v>0</v>
      </c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34">
        <f>'[13]1-полугод 2023 г. без.сп.над '!E153</f>
        <v>0</v>
      </c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34">
        <f>'[13]1-полугод 2023 г. без.сп.над '!E154</f>
        <v>0</v>
      </c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34">
        <f>'[13]1-полугод 2023 г. без.сп.над '!E155</f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34">
        <f>'[13]1-полугод 2023 г. без.сп.над '!E156</f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34">
        <f>'[13]1-полугод 2023 г. без.сп.над '!E157</f>
        <v>0</v>
      </c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34">
        <f>'[13]1-полугод 2023 г. без.сп.над '!E158</f>
        <v>0</v>
      </c>
      <c r="F159" s="40"/>
      <c r="G159" s="40"/>
      <c r="H159" s="41"/>
      <c r="I159" s="40" t="e">
        <f>ROUND(E159/H159*100,1)</f>
        <v>#DIV/0!</v>
      </c>
    </row>
    <row r="160" spans="1:12" ht="48.75" customHeight="1" collapsed="1">
      <c r="H160" s="44"/>
    </row>
    <row r="161" spans="1:9" ht="18.75">
      <c r="A161" s="32"/>
      <c r="B161" s="45" t="s">
        <v>205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 outlineLevel="1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 outlineLevel="1">
      <c r="A165" s="32"/>
      <c r="B165" s="46" t="s">
        <v>206</v>
      </c>
      <c r="C165" s="46"/>
      <c r="D165" s="46"/>
      <c r="E165" s="46"/>
      <c r="F165" s="48"/>
      <c r="G165" s="46" t="str">
        <f>'[2]2019'!$G$164</f>
        <v>Бегматов  Ш.Т.</v>
      </c>
      <c r="H165" s="46"/>
      <c r="I165" s="48"/>
    </row>
    <row r="166" spans="1:9" ht="18.75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>
      <c r="A167" s="32"/>
      <c r="B167" s="46" t="str">
        <f>'[3]2019'!B168</f>
        <v>Начальник ОЭАиП</v>
      </c>
      <c r="C167" s="46"/>
      <c r="D167" s="46"/>
      <c r="E167" s="46"/>
      <c r="F167" s="48"/>
      <c r="G167" s="46" t="s">
        <v>251</v>
      </c>
      <c r="H167" s="46"/>
      <c r="I167" s="48"/>
    </row>
    <row r="168" spans="1:9" ht="15.75">
      <c r="B168" s="49"/>
      <c r="C168" s="49"/>
      <c r="D168" s="49"/>
      <c r="E168" s="49"/>
      <c r="G168" s="49"/>
    </row>
    <row r="169" spans="1:9" ht="15.75">
      <c r="B169" s="49"/>
      <c r="C169" s="49"/>
      <c r="D169" s="49"/>
      <c r="E169" s="49"/>
      <c r="G169" s="49"/>
    </row>
    <row r="170" spans="1:9" ht="15.75">
      <c r="B170" s="207" t="s">
        <v>243</v>
      </c>
      <c r="C170" s="49"/>
      <c r="D170" s="49"/>
      <c r="E170" s="49"/>
      <c r="G170" s="49"/>
    </row>
    <row r="171" spans="1:9" ht="15.75">
      <c r="B171" s="49"/>
      <c r="C171" s="49"/>
      <c r="D171" s="49"/>
      <c r="E171" s="49"/>
      <c r="G171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" top="0.51181102362204722" bottom="0.15748031496062992" header="0.15748031496062992" footer="0.11811023622047245"/>
  <pageSetup paperSize="9" scale="64" orientation="portrait" blackAndWhite="1" r:id="rId1"/>
  <headerFooter alignWithMargins="0"/>
  <rowBreaks count="1" manualBreakCount="1">
    <brk id="96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70"/>
  <sheetViews>
    <sheetView showZeros="0" view="pageBreakPreview" zoomScale="90" zoomScaleNormal="100" zoomScaleSheetLayoutView="90" workbookViewId="0">
      <pane ySplit="3" topLeftCell="A72" activePane="bottomLeft" state="frozen"/>
      <selection activeCell="K11" sqref="K11"/>
      <selection pane="bottomLeft" activeCell="D76" sqref="D76"/>
    </sheetView>
  </sheetViews>
  <sheetFormatPr defaultRowHeight="12.75" outlineLevelRow="2" outlineLevelCol="1"/>
  <cols>
    <col min="1" max="1" width="6.14062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5.7109375" customWidth="1" outlineLevel="1"/>
    <col min="11" max="11" width="13.28515625" customWidth="1" outlineLevel="1"/>
    <col min="12" max="12" width="12.42578125" customWidth="1" outlineLevel="1"/>
    <col min="13" max="13" width="13.5703125" customWidth="1" outlineLevel="1"/>
    <col min="14" max="14" width="12" customWidth="1" outlineLevel="1"/>
  </cols>
  <sheetData>
    <row r="1" spans="1:10" ht="48" customHeight="1">
      <c r="A1" s="282" t="s">
        <v>271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272</v>
      </c>
      <c r="E2" s="289"/>
      <c r="F2" s="289"/>
      <c r="G2" s="289"/>
      <c r="H2" s="290" t="s">
        <v>270</v>
      </c>
      <c r="I2" s="288" t="s">
        <v>3</v>
      </c>
    </row>
    <row r="3" spans="1:10" ht="22.5" customHeight="1">
      <c r="A3" s="286"/>
      <c r="B3" s="287"/>
      <c r="C3" s="287"/>
      <c r="D3" s="249" t="s">
        <v>4</v>
      </c>
      <c r="E3" s="248" t="s">
        <v>5</v>
      </c>
      <c r="F3" s="248" t="s">
        <v>6</v>
      </c>
      <c r="G3" s="248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47">
        <f>D7+D8+D9</f>
        <v>4044.7</v>
      </c>
      <c r="E5" s="247">
        <f>E7+E8+E9</f>
        <v>4217.607</v>
      </c>
      <c r="F5" s="247">
        <f>ROUND(E5/D5*100,1)</f>
        <v>104.3</v>
      </c>
      <c r="G5" s="247">
        <f>E5-D5</f>
        <v>172.90700000000015</v>
      </c>
      <c r="H5" s="6">
        <f>H7+H8+H9</f>
        <v>3699.6989999999996</v>
      </c>
      <c r="I5" s="6">
        <f>IF(H5&gt;0,ROUND(E5/H5*100,1),0)</f>
        <v>114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/>
      <c r="I6" s="7"/>
    </row>
    <row r="7" spans="1:10" ht="15.75">
      <c r="A7" s="7"/>
      <c r="B7" s="218" t="s">
        <v>13</v>
      </c>
      <c r="C7" s="7" t="s">
        <v>11</v>
      </c>
      <c r="D7" s="34">
        <v>3431.2</v>
      </c>
      <c r="E7" s="34">
        <v>3572.44</v>
      </c>
      <c r="F7" s="34">
        <f>ROUND(E7/D7*100,1)</f>
        <v>104.1</v>
      </c>
      <c r="G7" s="34">
        <f>E7-D7</f>
        <v>141.24000000000024</v>
      </c>
      <c r="H7" s="34">
        <v>3333.8209999999999</v>
      </c>
      <c r="I7" s="9">
        <f>IF(H7&gt;0,ROUND(E7/H7*100,1),0)</f>
        <v>107.2</v>
      </c>
    </row>
    <row r="8" spans="1:10" ht="15.75">
      <c r="A8" s="7"/>
      <c r="B8" s="218" t="s">
        <v>14</v>
      </c>
      <c r="C8" s="7" t="s">
        <v>11</v>
      </c>
      <c r="D8" s="34">
        <v>41</v>
      </c>
      <c r="E8" s="34">
        <v>44.966999999999999</v>
      </c>
      <c r="F8" s="34">
        <f>ROUND(E8/D8*100,1)</f>
        <v>109.7</v>
      </c>
      <c r="G8" s="34">
        <f>E8-D8</f>
        <v>3.9669999999999987</v>
      </c>
      <c r="H8" s="34">
        <v>46.478999999999999</v>
      </c>
      <c r="I8" s="9">
        <f>IF(H8&gt;0,ROUND(E8/H8*100,1),0)</f>
        <v>96.7</v>
      </c>
    </row>
    <row r="9" spans="1:10" ht="15.75">
      <c r="A9" s="7"/>
      <c r="B9" s="218" t="s">
        <v>15</v>
      </c>
      <c r="C9" s="7" t="s">
        <v>11</v>
      </c>
      <c r="D9" s="34">
        <v>572.5</v>
      </c>
      <c r="E9" s="34">
        <v>600.20000000000005</v>
      </c>
      <c r="F9" s="34">
        <f>ROUND(E9/D9*100,1)</f>
        <v>104.8</v>
      </c>
      <c r="G9" s="34">
        <f>E9-D9</f>
        <v>27.700000000000045</v>
      </c>
      <c r="H9" s="34">
        <v>319.399</v>
      </c>
      <c r="I9" s="9">
        <f>IF(H9&gt;0,ROUND(E9/H9*100,1),0)</f>
        <v>187.9</v>
      </c>
    </row>
    <row r="10" spans="1:10" ht="15.75">
      <c r="A10" s="7" t="s">
        <v>16</v>
      </c>
      <c r="B10" s="217" t="s">
        <v>17</v>
      </c>
      <c r="C10" s="246" t="s">
        <v>11</v>
      </c>
      <c r="D10" s="6">
        <f>D12+D13</f>
        <v>520</v>
      </c>
      <c r="E10" s="6">
        <f>E12+E13</f>
        <v>565.01300000000003</v>
      </c>
      <c r="F10" s="247">
        <f>ROUND(E10/D10*100,1)</f>
        <v>108.7</v>
      </c>
      <c r="G10" s="247">
        <f>E10-D10</f>
        <v>45.013000000000034</v>
      </c>
      <c r="H10" s="6">
        <f>H12+H13</f>
        <v>567.63800000000003</v>
      </c>
      <c r="I10" s="246">
        <f t="shared" ref="I10:I28" si="0">IF(H10&gt;0,ROUND(E10/H10*100,1),0)</f>
        <v>99.5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200</v>
      </c>
      <c r="E12" s="34">
        <v>272.09300000000002</v>
      </c>
      <c r="F12" s="34">
        <f>ROUND(E12/D12*100,1)</f>
        <v>136</v>
      </c>
      <c r="G12" s="34">
        <f>E12-D12</f>
        <v>72.093000000000018</v>
      </c>
      <c r="H12" s="34">
        <v>351.10700000000003</v>
      </c>
      <c r="I12" s="9">
        <f t="shared" si="0"/>
        <v>77.5</v>
      </c>
    </row>
    <row r="13" spans="1:10" ht="15.75">
      <c r="A13" s="7"/>
      <c r="B13" s="218" t="s">
        <v>19</v>
      </c>
      <c r="C13" s="7" t="s">
        <v>11</v>
      </c>
      <c r="D13" s="34">
        <v>320</v>
      </c>
      <c r="E13" s="34">
        <v>292.92</v>
      </c>
      <c r="F13" s="34">
        <f>ROUND(E13/D13*100,1)</f>
        <v>91.5</v>
      </c>
      <c r="G13" s="34">
        <f>E13-D13</f>
        <v>-27.079999999999984</v>
      </c>
      <c r="H13" s="34">
        <v>216.53100000000001</v>
      </c>
      <c r="I13" s="9">
        <f t="shared" si="0"/>
        <v>135.30000000000001</v>
      </c>
    </row>
    <row r="14" spans="1:10" ht="15.75">
      <c r="A14" s="7" t="s">
        <v>20</v>
      </c>
      <c r="B14" s="217" t="s">
        <v>21</v>
      </c>
      <c r="C14" s="89" t="s">
        <v>11</v>
      </c>
      <c r="D14" s="247">
        <f>D16+D17+D18</f>
        <v>3365.2</v>
      </c>
      <c r="E14" s="247">
        <f>E16+E17+E18</f>
        <v>3775.4569999999999</v>
      </c>
      <c r="F14" s="247">
        <f>ROUND(E14/D14*100,1)</f>
        <v>112.2</v>
      </c>
      <c r="G14" s="247">
        <f>E14-D14</f>
        <v>410.25700000000006</v>
      </c>
      <c r="H14" s="6">
        <f>H16+H17+H18</f>
        <v>3819.3809999999999</v>
      </c>
      <c r="I14" s="9">
        <f t="shared" si="0"/>
        <v>98.8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2752.2</v>
      </c>
      <c r="E16" s="34">
        <v>3189.2449999999999</v>
      </c>
      <c r="F16" s="34">
        <f>ROUND(E16/D16*100,1)</f>
        <v>115.9</v>
      </c>
      <c r="G16" s="34">
        <f>E16-D16</f>
        <v>437.04500000000007</v>
      </c>
      <c r="H16" s="34">
        <v>3327.018</v>
      </c>
      <c r="I16" s="9">
        <f t="shared" si="0"/>
        <v>95.9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41.15</v>
      </c>
      <c r="E17" s="34">
        <v>44.945999999999998</v>
      </c>
      <c r="F17" s="34">
        <f>ROUND(E17/D17*100,1)</f>
        <v>109.2</v>
      </c>
      <c r="G17" s="34">
        <f>E17-D17</f>
        <v>3.7959999999999994</v>
      </c>
      <c r="H17" s="34">
        <v>46.268999999999998</v>
      </c>
      <c r="I17" s="9">
        <f t="shared" si="0"/>
        <v>97.1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v>571.85</v>
      </c>
      <c r="E18" s="34">
        <v>541.26599999999996</v>
      </c>
      <c r="F18" s="34">
        <f>ROUND(E18/D18*100,1)</f>
        <v>94.7</v>
      </c>
      <c r="G18" s="34">
        <f>E18-D18</f>
        <v>-30.58400000000006</v>
      </c>
      <c r="H18" s="18">
        <v>446.09399999999999</v>
      </c>
      <c r="I18" s="9">
        <f t="shared" si="0"/>
        <v>121.3</v>
      </c>
    </row>
    <row r="19" spans="1:12" ht="18.75">
      <c r="A19" s="7" t="s">
        <v>23</v>
      </c>
      <c r="B19" s="217" t="s">
        <v>24</v>
      </c>
      <c r="C19" s="89" t="s">
        <v>25</v>
      </c>
      <c r="D19" s="247">
        <f>D21+D22+D23+D24</f>
        <v>19865.900000000001</v>
      </c>
      <c r="E19" s="247">
        <f>E21+E22+E23+E24</f>
        <v>17132.458999999999</v>
      </c>
      <c r="F19" s="247">
        <f>ROUND(E19/D19*100,1)</f>
        <v>86.2</v>
      </c>
      <c r="G19" s="247">
        <f>E19-D19</f>
        <v>-2733.4410000000025</v>
      </c>
      <c r="H19" s="6">
        <f>H21+H22+H23+H24</f>
        <v>13491.771999999999</v>
      </c>
      <c r="I19" s="9">
        <f t="shared" si="0"/>
        <v>127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5017.3999999999996</v>
      </c>
      <c r="E21" s="34">
        <v>4900.7259999999997</v>
      </c>
      <c r="F21" s="34">
        <f>ROUND(E21/D21*100,1)</f>
        <v>97.7</v>
      </c>
      <c r="G21" s="34">
        <f t="shared" ref="G21:G31" si="1">E21-D21</f>
        <v>-116.67399999999998</v>
      </c>
      <c r="H21" s="34">
        <v>5004.2049999999999</v>
      </c>
      <c r="I21" s="9">
        <f t="shared" si="0"/>
        <v>97.9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14848.5</v>
      </c>
      <c r="E22" s="34">
        <v>12231.733</v>
      </c>
      <c r="F22" s="34">
        <f>ROUND(E22/D22*100,1)</f>
        <v>82.4</v>
      </c>
      <c r="G22" s="34">
        <f t="shared" si="1"/>
        <v>-2616.7669999999998</v>
      </c>
      <c r="H22" s="34">
        <v>8487.5669999999991</v>
      </c>
      <c r="I22" s="9">
        <f t="shared" si="0"/>
        <v>144.1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/>
      <c r="E24" s="195"/>
      <c r="F24" s="195">
        <v>0</v>
      </c>
      <c r="G24" s="195">
        <v>0</v>
      </c>
      <c r="H24" s="195">
        <v>0</v>
      </c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1991</v>
      </c>
      <c r="E25" s="18">
        <v>1810</v>
      </c>
      <c r="F25" s="18">
        <f t="shared" ref="F25:F29" si="2">ROUND(E25/D25*100,1)</f>
        <v>90.9</v>
      </c>
      <c r="G25" s="18">
        <f t="shared" si="1"/>
        <v>-181</v>
      </c>
      <c r="H25" s="18">
        <v>1054</v>
      </c>
      <c r="I25" s="9">
        <f t="shared" si="0"/>
        <v>171.7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905402.87399999995</v>
      </c>
      <c r="E26" s="18">
        <v>944574.81200000003</v>
      </c>
      <c r="F26" s="18">
        <f t="shared" si="2"/>
        <v>104.3</v>
      </c>
      <c r="G26" s="18">
        <f t="shared" si="1"/>
        <v>39171.938000000082</v>
      </c>
      <c r="H26" s="18">
        <v>832723.12100000004</v>
      </c>
      <c r="I26" s="18">
        <f t="shared" si="0"/>
        <v>113.4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168.06800000000001</v>
      </c>
      <c r="E27" s="242">
        <v>64.301000000000002</v>
      </c>
      <c r="F27" s="18">
        <f t="shared" si="2"/>
        <v>38.299999999999997</v>
      </c>
      <c r="G27" s="18">
        <f>E27-D27</f>
        <v>-103.76700000000001</v>
      </c>
      <c r="H27" s="18">
        <v>14.151</v>
      </c>
      <c r="I27" s="18">
        <f t="shared" si="0"/>
        <v>454.4</v>
      </c>
      <c r="J27" t="s">
        <v>22</v>
      </c>
      <c r="K27"/>
    </row>
    <row r="28" spans="1:12" ht="31.5">
      <c r="A28" s="7" t="s">
        <v>39</v>
      </c>
      <c r="B28" s="219" t="s">
        <v>225</v>
      </c>
      <c r="C28" s="18" t="s">
        <v>37</v>
      </c>
      <c r="D28" s="18">
        <v>113328.8</v>
      </c>
      <c r="E28" s="18">
        <v>113117.932</v>
      </c>
      <c r="F28" s="18">
        <f t="shared" si="2"/>
        <v>99.8</v>
      </c>
      <c r="G28" s="18">
        <f t="shared" si="1"/>
        <v>-210.86800000000221</v>
      </c>
      <c r="H28" s="18">
        <v>67530.09</v>
      </c>
      <c r="I28" s="9">
        <f t="shared" si="0"/>
        <v>167.5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3865.991</v>
      </c>
      <c r="E29" s="18">
        <v>4133.1139999999996</v>
      </c>
      <c r="F29" s="18">
        <f t="shared" si="2"/>
        <v>106.9</v>
      </c>
      <c r="G29" s="18">
        <f t="shared" si="1"/>
        <v>267.12299999999959</v>
      </c>
      <c r="H29" s="18">
        <v>5241</v>
      </c>
      <c r="I29" s="9">
        <f>IF(H29&gt;0,ROUND(E29/H29*100,1),0)</f>
        <v>78.900000000000006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47</v>
      </c>
      <c r="B32" s="219" t="s">
        <v>48</v>
      </c>
      <c r="C32" s="18" t="s">
        <v>37</v>
      </c>
      <c r="D32" s="23"/>
      <c r="E32" s="23"/>
      <c r="F32" s="23"/>
      <c r="G32" s="23"/>
      <c r="H32" s="18"/>
      <c r="I32" s="18">
        <f>IF(H32&gt;0,ROUND(E32/H32*100,1),0)</f>
        <v>0</v>
      </c>
    </row>
    <row r="33" spans="1:10" ht="15.75">
      <c r="A33" s="7" t="s">
        <v>49</v>
      </c>
      <c r="B33" s="217" t="s">
        <v>50</v>
      </c>
      <c r="C33" s="18" t="s">
        <v>37</v>
      </c>
      <c r="D33" s="26">
        <f>D35+D39+D40+D41+D42+D43+D45+D44</f>
        <v>91608.806999999928</v>
      </c>
      <c r="E33" s="26">
        <f>E35+E39+E40+E41+E42+E43+E45+E44</f>
        <v>109561.36000000002</v>
      </c>
      <c r="F33" s="26"/>
      <c r="G33" s="26">
        <f t="shared" ref="G33:G44" si="3">E33-D33</f>
        <v>17952.553000000087</v>
      </c>
      <c r="H33" s="26">
        <f>H39+H37</f>
        <v>-28876.732999999978</v>
      </c>
      <c r="I33" s="26">
        <f>IF(H33&gt;0,ROUND(E33/H33*100,1),0)</f>
        <v>0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3"/>
        <v>0</v>
      </c>
      <c r="H34" s="28" t="s">
        <v>73</v>
      </c>
      <c r="I34" s="28"/>
    </row>
    <row r="35" spans="1:10" ht="15.75">
      <c r="A35" s="34"/>
      <c r="B35" s="223" t="s">
        <v>53</v>
      </c>
      <c r="C35" s="18" t="s">
        <v>37</v>
      </c>
      <c r="D35" s="27">
        <f>D37+D38</f>
        <v>-11070.205000000075</v>
      </c>
      <c r="E35" s="27">
        <f>E37+E38</f>
        <v>7064.8190000000177</v>
      </c>
      <c r="F35" s="28"/>
      <c r="G35" s="27">
        <f t="shared" si="3"/>
        <v>18135.024000000092</v>
      </c>
      <c r="H35" s="28">
        <f>H37</f>
        <v>-28876.732999999978</v>
      </c>
      <c r="I35" s="28">
        <f>IF(H35&gt;0,ROUND(E35/H35*100,1),0)</f>
        <v>0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7"/>
      <c r="E36" s="28"/>
      <c r="F36" s="28"/>
      <c r="G36" s="27"/>
      <c r="H36" s="28" t="s">
        <v>73</v>
      </c>
      <c r="I36" s="28"/>
    </row>
    <row r="37" spans="1:10" ht="15.75">
      <c r="A37" s="34"/>
      <c r="B37" s="224" t="s">
        <v>55</v>
      </c>
      <c r="C37" s="18" t="s">
        <v>37</v>
      </c>
      <c r="D37" s="27"/>
      <c r="E37" s="27">
        <f>E92</f>
        <v>7064.8190000000177</v>
      </c>
      <c r="F37" s="28"/>
      <c r="G37" s="27"/>
      <c r="H37" s="28">
        <f>H96</f>
        <v>-28876.732999999978</v>
      </c>
      <c r="I37" s="28"/>
    </row>
    <row r="38" spans="1:10" ht="15.75">
      <c r="A38" s="34"/>
      <c r="B38" s="224" t="s">
        <v>56</v>
      </c>
      <c r="C38" s="18" t="s">
        <v>37</v>
      </c>
      <c r="D38" s="27">
        <f>D96</f>
        <v>-11070.205000000075</v>
      </c>
      <c r="E38" s="28">
        <v>0</v>
      </c>
      <c r="F38" s="28"/>
      <c r="G38" s="27">
        <f t="shared" si="3"/>
        <v>11070.205000000075</v>
      </c>
      <c r="H38" s="28" t="s">
        <v>73</v>
      </c>
      <c r="I38" s="28"/>
    </row>
    <row r="39" spans="1:10" ht="15.75">
      <c r="A39" s="34"/>
      <c r="B39" s="223" t="s">
        <v>57</v>
      </c>
      <c r="C39" s="18" t="s">
        <v>37</v>
      </c>
      <c r="D39" s="27">
        <f>D129</f>
        <v>102679.012</v>
      </c>
      <c r="E39" s="27">
        <f>E129</f>
        <v>102496.541</v>
      </c>
      <c r="F39" s="28">
        <f t="shared" ref="F39" si="4">ROUND(E39/D39*100,1)</f>
        <v>99.8</v>
      </c>
      <c r="G39" s="27">
        <f t="shared" si="3"/>
        <v>-182.47100000000501</v>
      </c>
      <c r="H39" s="28"/>
      <c r="I39" s="28">
        <f>IF(H39&gt;0,ROUND(E39/H39*100,1),0)</f>
        <v>0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3"/>
        <v>0</v>
      </c>
      <c r="H40" s="28" t="s">
        <v>73</v>
      </c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3"/>
        <v>0</v>
      </c>
      <c r="H41" s="28" t="s">
        <v>73</v>
      </c>
      <c r="I41" s="28" t="e">
        <f>IF(H41&gt;0,ROUND(E41/H41*100,1),0)</f>
        <v>#VALUE!</v>
      </c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3"/>
        <v>0</v>
      </c>
      <c r="H42" s="18"/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3"/>
        <v>0</v>
      </c>
      <c r="H43" s="18" t="s">
        <v>73</v>
      </c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3"/>
        <v>0</v>
      </c>
      <c r="H44" s="18" t="s">
        <v>73</v>
      </c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18" t="s">
        <v>73</v>
      </c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67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76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84</v>
      </c>
      <c r="B59" s="220" t="s">
        <v>85</v>
      </c>
      <c r="C59" s="18" t="s">
        <v>86</v>
      </c>
      <c r="D59" s="28">
        <f>'9МЕС.СО СПЕЦ.НАДБАВКИ'!D59</f>
        <v>6294</v>
      </c>
      <c r="E59" s="28">
        <f>'9МЕС.СО СПЕЦ.НАДБАВКИ'!E59</f>
        <v>5595</v>
      </c>
      <c r="F59" s="28">
        <f>ROUND(E59/D59*100,1)</f>
        <v>88.9</v>
      </c>
      <c r="G59" s="28">
        <f>E59-D59</f>
        <v>-699</v>
      </c>
      <c r="H59" s="28">
        <v>5684</v>
      </c>
      <c r="I59" s="28">
        <f t="shared" ref="I59:I64" si="5">IF(H59&gt;0,ROUND(E59/H59*100,1),0)</f>
        <v>98.4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>
        <f>'9МЕС.СО СПЕЦ.НАДБАВКИ'!D60</f>
        <v>0</v>
      </c>
      <c r="E60" s="28">
        <f>'9МЕС.СО СПЕЦ.НАДБАВКИ'!E60</f>
        <v>0</v>
      </c>
      <c r="F60" s="28" t="e">
        <f>ROUND(E60/D60*100,1)</f>
        <v>#DIV/0!</v>
      </c>
      <c r="G60" s="28"/>
      <c r="H60" s="28"/>
      <c r="I60" s="28">
        <f t="shared" si="5"/>
        <v>0</v>
      </c>
    </row>
    <row r="61" spans="1:12" ht="15.75" collapsed="1">
      <c r="A61" s="34" t="s">
        <v>91</v>
      </c>
      <c r="B61" s="220" t="s">
        <v>92</v>
      </c>
      <c r="C61" s="18" t="s">
        <v>37</v>
      </c>
      <c r="D61" s="28">
        <f>'9МЕС.СО СПЕЦ.НАДБАВКИ'!D61</f>
        <v>307792.5</v>
      </c>
      <c r="E61" s="28">
        <f>'9МЕС.СО СПЕЦ.НАДБАВКИ'!E61</f>
        <v>295572.3</v>
      </c>
      <c r="F61" s="28">
        <f>ROUND(E61/D61*100,1)</f>
        <v>96</v>
      </c>
      <c r="G61" s="28">
        <f>E61-D61</f>
        <v>-12220.200000000012</v>
      </c>
      <c r="H61" s="33">
        <v>210102.3</v>
      </c>
      <c r="I61" s="28">
        <f t="shared" si="5"/>
        <v>140.69999999999999</v>
      </c>
      <c r="J61" t="s">
        <v>87</v>
      </c>
    </row>
    <row r="62" spans="1:12" ht="15.75">
      <c r="A62" s="34" t="s">
        <v>93</v>
      </c>
      <c r="B62" s="220" t="s">
        <v>94</v>
      </c>
      <c r="C62" s="18" t="s">
        <v>95</v>
      </c>
      <c r="D62" s="28">
        <f>'9МЕС.СО СПЕЦ.НАДБАВКИ'!D62</f>
        <v>5433.6</v>
      </c>
      <c r="E62" s="28">
        <f>'9МЕС.СО СПЕЦ.НАДБАВКИ'!E62</f>
        <v>5840.7</v>
      </c>
      <c r="F62" s="28">
        <f>ROUND(E62/D62*100,1)</f>
        <v>107.5</v>
      </c>
      <c r="G62" s="28">
        <f>E62-D62</f>
        <v>407.09999999999945</v>
      </c>
      <c r="H62" s="178">
        <v>4074.1</v>
      </c>
      <c r="I62" s="28">
        <f t="shared" si="5"/>
        <v>143.4</v>
      </c>
      <c r="J62" t="s">
        <v>87</v>
      </c>
      <c r="L62">
        <v>563699649</v>
      </c>
    </row>
    <row r="63" spans="1:12" ht="15.75">
      <c r="A63" s="34" t="s">
        <v>96</v>
      </c>
      <c r="B63" s="220" t="s">
        <v>97</v>
      </c>
      <c r="C63" s="18" t="s">
        <v>37</v>
      </c>
      <c r="D63" s="28">
        <f>'9МЕС.СО СПЕЦ.НАДБАВКИ'!D63</f>
        <v>0</v>
      </c>
      <c r="E63" s="28">
        <f>'9МЕС.СО СПЕЦ.НАДБАВКИ'!E63</f>
        <v>0</v>
      </c>
      <c r="F63" s="28"/>
      <c r="G63" s="18"/>
      <c r="H63" s="18">
        <v>988649</v>
      </c>
      <c r="I63" s="18">
        <f t="shared" si="5"/>
        <v>0</v>
      </c>
      <c r="J63" t="s">
        <v>58</v>
      </c>
      <c r="L63">
        <v>461145397.5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28">
        <f>'9МЕС.СО СПЕЦ.НАДБАВКИ'!D64</f>
        <v>0</v>
      </c>
      <c r="E64" s="28">
        <f>'9МЕС.СО СПЕЦ.НАДБАВКИ'!E64</f>
        <v>0</v>
      </c>
      <c r="F64" s="59"/>
      <c r="G64" s="58"/>
      <c r="H64" s="58"/>
      <c r="I64" s="59">
        <f t="shared" si="5"/>
        <v>0</v>
      </c>
      <c r="J64" s="31"/>
    </row>
    <row r="65" spans="1:13" ht="15.75" collapsed="1">
      <c r="A65" s="34" t="s">
        <v>100</v>
      </c>
      <c r="B65" s="220" t="s">
        <v>101</v>
      </c>
      <c r="C65" s="18" t="s">
        <v>102</v>
      </c>
      <c r="D65" s="28">
        <f>'9МЕС.СО СПЕЦ.НАДБАВКИ'!D65</f>
        <v>230043.2</v>
      </c>
      <c r="E65" s="28">
        <f>'9МЕС.СО СПЕЦ.НАДБАВКИ'!E65</f>
        <v>186421</v>
      </c>
      <c r="F65" s="28">
        <f>ROUND(E65/D65*100,1)</f>
        <v>81</v>
      </c>
      <c r="G65" s="28">
        <f>E65-D65</f>
        <v>-43622.200000000012</v>
      </c>
      <c r="H65" s="28">
        <v>132426.41</v>
      </c>
      <c r="I65" s="28">
        <f>ROUND(E65/H65*100,1)</f>
        <v>140.80000000000001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28">
        <f>'9МЕС.СО СПЕЦ.НАДБАВКИ'!D66</f>
        <v>0</v>
      </c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28">
        <f>'9МЕС.СО СПЕЦ.НАДБАВКИ'!D67</f>
        <v>0</v>
      </c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28">
        <f>'9МЕС.СО СПЕЦ.НАДБАВКИ'!D68</f>
        <v>0</v>
      </c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107</v>
      </c>
      <c r="B70" s="220" t="s">
        <v>108</v>
      </c>
      <c r="C70" s="18" t="s">
        <v>37</v>
      </c>
      <c r="D70" s="28">
        <f>949119.482-125209.8</f>
        <v>823909.68199999991</v>
      </c>
      <c r="E70" s="18">
        <v>806750.86300000001</v>
      </c>
      <c r="F70" s="18">
        <f t="shared" ref="F70:F96" si="6">ROUND(E70/D70*100,1)</f>
        <v>97.9</v>
      </c>
      <c r="G70" s="18">
        <f>E70-D70</f>
        <v>-17158.818999999901</v>
      </c>
      <c r="H70" s="18">
        <v>722594.74100000004</v>
      </c>
      <c r="I70" s="18">
        <f t="shared" ref="I70:I85" si="7">ROUND(E70/H70*100,1)</f>
        <v>111.6</v>
      </c>
      <c r="J70" t="s">
        <v>103</v>
      </c>
      <c r="M70">
        <f>1759313-152984-76292-1017231</f>
        <v>512806</v>
      </c>
    </row>
    <row r="71" spans="1:13" ht="15.75">
      <c r="A71" s="34" t="s">
        <v>109</v>
      </c>
      <c r="B71" s="220" t="s">
        <v>110</v>
      </c>
      <c r="C71" s="18" t="s">
        <v>37</v>
      </c>
      <c r="D71" s="28">
        <f>771937.532-113401.969</f>
        <v>658535.56299999997</v>
      </c>
      <c r="E71" s="18">
        <v>462306.90299999999</v>
      </c>
      <c r="F71" s="18">
        <f t="shared" si="6"/>
        <v>70.2</v>
      </c>
      <c r="G71" s="18">
        <f>E71-D71</f>
        <v>-196228.65999999997</v>
      </c>
      <c r="H71" s="18">
        <v>491039.59700000001</v>
      </c>
      <c r="I71" s="18">
        <f t="shared" si="7"/>
        <v>94.1</v>
      </c>
      <c r="J71" t="s">
        <v>103</v>
      </c>
    </row>
    <row r="72" spans="1:13" ht="15.75">
      <c r="A72" s="34" t="s">
        <v>111</v>
      </c>
      <c r="B72" s="220" t="s">
        <v>112</v>
      </c>
      <c r="C72" s="18" t="s">
        <v>37</v>
      </c>
      <c r="D72" s="33">
        <f>D70-D71</f>
        <v>165374.11899999995</v>
      </c>
      <c r="E72" s="33">
        <f>E70-E71</f>
        <v>344443.96</v>
      </c>
      <c r="F72" s="34">
        <f t="shared" si="6"/>
        <v>208.3</v>
      </c>
      <c r="G72" s="18">
        <f>E72-D72</f>
        <v>179069.84100000007</v>
      </c>
      <c r="H72" s="34">
        <f>H70-H71</f>
        <v>231555.14400000003</v>
      </c>
      <c r="I72" s="34">
        <f t="shared" si="7"/>
        <v>148.80000000000001</v>
      </c>
      <c r="J72" t="s">
        <v>103</v>
      </c>
      <c r="M72" s="11">
        <f>D72-D73</f>
        <v>29929.794999999925</v>
      </c>
    </row>
    <row r="73" spans="1:13" ht="15.75">
      <c r="A73" s="34"/>
      <c r="B73" s="227" t="s">
        <v>113</v>
      </c>
      <c r="C73" s="18" t="s">
        <v>37</v>
      </c>
      <c r="D73" s="26">
        <f>D74+D75+D76</f>
        <v>135444.32400000002</v>
      </c>
      <c r="E73" s="6">
        <f>E74+E75+E76</f>
        <v>175561.06099999999</v>
      </c>
      <c r="F73" s="6">
        <f t="shared" si="6"/>
        <v>129.6</v>
      </c>
      <c r="G73" s="6">
        <f t="shared" ref="G73:G96" si="8">E73-D73</f>
        <v>40116.736999999965</v>
      </c>
      <c r="H73" s="26">
        <f>H74+H75+H76</f>
        <v>182258.43700000001</v>
      </c>
      <c r="I73" s="6">
        <f t="shared" si="7"/>
        <v>96.3</v>
      </c>
      <c r="J73" t="s">
        <v>103</v>
      </c>
      <c r="M73" s="11">
        <f>M72+D77</f>
        <v>29929.794999999925</v>
      </c>
    </row>
    <row r="74" spans="1:13" ht="15.75">
      <c r="A74" s="34"/>
      <c r="B74" s="228" t="s">
        <v>114</v>
      </c>
      <c r="C74" s="18" t="s">
        <v>37</v>
      </c>
      <c r="D74" s="28">
        <v>4942.7340000000004</v>
      </c>
      <c r="E74" s="34">
        <v>9171.9429999999993</v>
      </c>
      <c r="F74" s="34">
        <f t="shared" si="6"/>
        <v>185.6</v>
      </c>
      <c r="G74" s="18">
        <f t="shared" si="8"/>
        <v>4229.2089999999989</v>
      </c>
      <c r="H74" s="34">
        <v>7986.9189999999999</v>
      </c>
      <c r="I74" s="34">
        <f t="shared" si="7"/>
        <v>114.8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f>47667.9</f>
        <v>47667.9</v>
      </c>
      <c r="E75" s="18">
        <v>47087.343999999997</v>
      </c>
      <c r="F75" s="18">
        <f t="shared" si="6"/>
        <v>98.8</v>
      </c>
      <c r="G75" s="18">
        <f t="shared" si="8"/>
        <v>-580.55600000000413</v>
      </c>
      <c r="H75" s="18">
        <v>41016.017999999996</v>
      </c>
      <c r="I75" s="18">
        <f t="shared" si="7"/>
        <v>114.8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82833.69</v>
      </c>
      <c r="E76" s="18">
        <v>119301.774</v>
      </c>
      <c r="F76" s="18">
        <f t="shared" si="6"/>
        <v>144</v>
      </c>
      <c r="G76" s="18">
        <f t="shared" si="8"/>
        <v>36468.084000000003</v>
      </c>
      <c r="H76" s="18">
        <v>133255.5</v>
      </c>
      <c r="I76" s="18">
        <f t="shared" si="7"/>
        <v>89.5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18">
        <v>12910.311</v>
      </c>
      <c r="F77" s="18"/>
      <c r="G77" s="18">
        <f t="shared" si="8"/>
        <v>12910.311</v>
      </c>
      <c r="H77" s="18">
        <v>16475.153999999999</v>
      </c>
      <c r="I77" s="18">
        <f t="shared" si="7"/>
        <v>78.400000000000006</v>
      </c>
      <c r="J77" t="s">
        <v>103</v>
      </c>
    </row>
    <row r="78" spans="1:13" ht="15.75">
      <c r="A78" s="34"/>
      <c r="B78" s="220" t="s">
        <v>118</v>
      </c>
      <c r="C78" s="18" t="s">
        <v>37</v>
      </c>
      <c r="D78" s="28">
        <v>41000</v>
      </c>
      <c r="E78" s="18">
        <v>174728.391</v>
      </c>
      <c r="F78" s="18">
        <f t="shared" si="6"/>
        <v>426.2</v>
      </c>
      <c r="G78" s="18">
        <f t="shared" si="8"/>
        <v>133728.391</v>
      </c>
      <c r="H78" s="18">
        <v>94648.593999999997</v>
      </c>
      <c r="I78" s="18">
        <f t="shared" si="7"/>
        <v>184.6</v>
      </c>
      <c r="J78" t="s">
        <v>103</v>
      </c>
    </row>
    <row r="79" spans="1:13" ht="15.75" hidden="1" outlineLevel="1">
      <c r="A79" s="34"/>
      <c r="B79" s="220" t="s">
        <v>119</v>
      </c>
      <c r="C79" s="18" t="s">
        <v>37</v>
      </c>
      <c r="D79" s="33"/>
      <c r="E79" s="34"/>
      <c r="F79" s="18" t="e">
        <f t="shared" si="6"/>
        <v>#DIV/0!</v>
      </c>
      <c r="G79" s="18">
        <f t="shared" si="8"/>
        <v>0</v>
      </c>
      <c r="H79" s="58"/>
      <c r="I79" s="18" t="e">
        <f t="shared" si="7"/>
        <v>#DIV/0!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6"/>
        <v>#DIV/0!</v>
      </c>
      <c r="G80" s="18">
        <f t="shared" si="8"/>
        <v>0</v>
      </c>
      <c r="H80" s="58"/>
      <c r="I80" s="18" t="e">
        <f t="shared" si="7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6"/>
        <v>#DIV/0!</v>
      </c>
      <c r="G81" s="18">
        <f t="shared" si="8"/>
        <v>0</v>
      </c>
      <c r="H81" s="58"/>
      <c r="I81" s="18" t="e">
        <f t="shared" si="7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6"/>
        <v>#DIV/0!</v>
      </c>
      <c r="G82" s="18">
        <f t="shared" si="8"/>
        <v>0</v>
      </c>
      <c r="H82" s="58"/>
      <c r="I82" s="18" t="e">
        <f t="shared" si="7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6"/>
        <v>#DIV/0!</v>
      </c>
      <c r="G83" s="18">
        <f t="shared" si="8"/>
        <v>0</v>
      </c>
      <c r="H83" s="58"/>
      <c r="I83" s="18" t="e">
        <f t="shared" si="7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6"/>
        <v>#DIV/0!</v>
      </c>
      <c r="G84" s="18">
        <f t="shared" si="8"/>
        <v>0</v>
      </c>
      <c r="H84" s="58"/>
      <c r="I84" s="18" t="e">
        <f t="shared" si="7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6"/>
        <v>#DIV/0!</v>
      </c>
      <c r="G85" s="18">
        <f t="shared" si="8"/>
        <v>0</v>
      </c>
      <c r="H85" s="58"/>
      <c r="I85" s="18" t="e">
        <f t="shared" si="7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6"/>
        <v>#DIV/0!</v>
      </c>
      <c r="G86" s="18">
        <f t="shared" si="8"/>
        <v>0</v>
      </c>
      <c r="H86" s="58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6"/>
        <v>#DIV/0!</v>
      </c>
      <c r="G87" s="18">
        <f t="shared" si="8"/>
        <v>0</v>
      </c>
      <c r="H87" s="58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6"/>
        <v>#DIV/0!</v>
      </c>
      <c r="G88" s="18">
        <f t="shared" si="8"/>
        <v>0</v>
      </c>
      <c r="H88" s="58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D72-D73+D77-D78</f>
        <v>-11070.205000000075</v>
      </c>
      <c r="E89" s="6">
        <f>E72-E73+E77-E78</f>
        <v>7064.8190000000177</v>
      </c>
      <c r="F89" s="6">
        <f t="shared" si="6"/>
        <v>-63.8</v>
      </c>
      <c r="G89" s="6">
        <f t="shared" si="8"/>
        <v>18135.024000000092</v>
      </c>
      <c r="H89" s="62">
        <f>H72-H73+H77-H78</f>
        <v>-28876.732999999978</v>
      </c>
      <c r="I89" s="6">
        <f t="shared" ref="I89:I96" si="9">ROUND(E89/H89*100,1)</f>
        <v>-24.5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 t="s">
        <v>73</v>
      </c>
      <c r="E90" s="195">
        <v>0</v>
      </c>
      <c r="F90" s="195">
        <v>0</v>
      </c>
      <c r="G90" s="195">
        <v>0</v>
      </c>
      <c r="H90" s="195" t="s">
        <v>73</v>
      </c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8"/>
        <v>-15.822778173897415</v>
      </c>
      <c r="H91" s="34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-11070.205000000075</v>
      </c>
      <c r="E92" s="34">
        <f>E89</f>
        <v>7064.8190000000177</v>
      </c>
      <c r="F92" s="18">
        <f t="shared" si="6"/>
        <v>-63.8</v>
      </c>
      <c r="G92" s="18">
        <f t="shared" si="8"/>
        <v>18135.024000000092</v>
      </c>
      <c r="H92" s="34">
        <f>H89</f>
        <v>-28876.732999999978</v>
      </c>
      <c r="I92" s="18">
        <f t="shared" si="9"/>
        <v>-24.5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v>0</v>
      </c>
      <c r="E93" s="195">
        <v>617.91999999999996</v>
      </c>
      <c r="F93" s="195">
        <v>0</v>
      </c>
      <c r="G93" s="195">
        <v>0</v>
      </c>
      <c r="H93" s="195"/>
      <c r="I93" s="195">
        <v>0</v>
      </c>
      <c r="J93" t="s">
        <v>103</v>
      </c>
    </row>
    <row r="94" spans="1:10" ht="15.75" hidden="1" outlineLevel="1">
      <c r="A94" s="34"/>
      <c r="B94" s="220" t="s">
        <v>130</v>
      </c>
      <c r="C94" s="18" t="s">
        <v>37</v>
      </c>
      <c r="D94" s="33"/>
      <c r="E94" s="34"/>
      <c r="F94" s="18" t="e">
        <f t="shared" si="6"/>
        <v>#DIV/0!</v>
      </c>
      <c r="G94" s="18">
        <f t="shared" si="8"/>
        <v>0</v>
      </c>
      <c r="H94" s="34"/>
      <c r="I94" s="18" t="e">
        <f t="shared" si="9"/>
        <v>#DIV/0!</v>
      </c>
      <c r="J94" t="s">
        <v>103</v>
      </c>
    </row>
    <row r="95" spans="1:10" ht="15.75" hidden="1" outlineLevel="2">
      <c r="A95" s="34"/>
      <c r="B95" s="220" t="s">
        <v>131</v>
      </c>
      <c r="C95" s="18" t="s">
        <v>37</v>
      </c>
      <c r="D95" s="33"/>
      <c r="E95" s="34"/>
      <c r="F95" s="18" t="e">
        <f t="shared" si="6"/>
        <v>#DIV/0!</v>
      </c>
      <c r="G95" s="18">
        <f t="shared" si="8"/>
        <v>0</v>
      </c>
      <c r="H95" s="34"/>
      <c r="I95" s="18" t="e">
        <f t="shared" si="9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-11070.205000000075</v>
      </c>
      <c r="E96" s="34">
        <f>E92-E93</f>
        <v>6446.8990000000176</v>
      </c>
      <c r="F96" s="18">
        <f t="shared" si="6"/>
        <v>-58.2</v>
      </c>
      <c r="G96" s="18">
        <f t="shared" si="8"/>
        <v>17517.104000000094</v>
      </c>
      <c r="H96" s="34">
        <f>H89-H93</f>
        <v>-28876.732999999978</v>
      </c>
      <c r="I96" s="18">
        <f t="shared" si="9"/>
        <v>-22.3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34" t="s">
        <v>136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103219.8</v>
      </c>
      <c r="E102" s="6">
        <f>E103+E106</f>
        <v>64352.92</v>
      </c>
      <c r="F102" s="6">
        <f>ROUND(E102/D102*100,1)</f>
        <v>62.3</v>
      </c>
      <c r="G102" s="6">
        <f>E102-D102</f>
        <v>-38866.880000000005</v>
      </c>
      <c r="H102" s="6">
        <f>H103+H106</f>
        <v>80762.942999999999</v>
      </c>
      <c r="I102" s="6">
        <f>ROUND(E102/H102*100,1)</f>
        <v>79.7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0</v>
      </c>
      <c r="E103" s="195">
        <f>E93</f>
        <v>617.91999999999996</v>
      </c>
      <c r="F103" s="195">
        <v>0</v>
      </c>
      <c r="G103" s="195">
        <v>0</v>
      </c>
      <c r="H103" s="195">
        <f>H93</f>
        <v>0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0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>
        <v>103219.8</v>
      </c>
      <c r="E106" s="18">
        <v>63735</v>
      </c>
      <c r="F106" s="18">
        <f>ROUND(E106/D106*100,1)</f>
        <v>61.7</v>
      </c>
      <c r="G106" s="34">
        <f t="shared" si="10"/>
        <v>-39484.800000000003</v>
      </c>
      <c r="H106" s="18">
        <v>80762.942999999999</v>
      </c>
      <c r="I106" s="18">
        <f>ROUND(E106/H106*100,1)</f>
        <v>78.900000000000006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48727.942999999999</v>
      </c>
      <c r="E107" s="6">
        <f>SUM(E108:E112)</f>
        <v>58421.258999999998</v>
      </c>
      <c r="F107" s="6">
        <f>ROUND(E107/D107*100,1)</f>
        <v>119.9</v>
      </c>
      <c r="G107" s="6">
        <f t="shared" si="10"/>
        <v>9693.3159999999989</v>
      </c>
      <c r="H107" s="6">
        <f>SUM(H108:H112)</f>
        <v>39650.195999999996</v>
      </c>
      <c r="I107" s="6">
        <f>IF(H107&gt;0,ROUND(E107/H107*100,1),0)</f>
        <v>147.30000000000001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>
        <f>8419.748-955.3</f>
        <v>7464.4479999999994</v>
      </c>
      <c r="F108" s="6"/>
      <c r="G108" s="18">
        <f t="shared" si="10"/>
        <v>7464.4479999999994</v>
      </c>
      <c r="H108" s="91">
        <v>0</v>
      </c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2284.7669999999998</v>
      </c>
      <c r="E109" s="34">
        <v>1459.538</v>
      </c>
      <c r="F109" s="18">
        <f>ROUND(E109/D109*100,1)</f>
        <v>63.9</v>
      </c>
      <c r="G109" s="18">
        <f t="shared" si="10"/>
        <v>-825.22899999999981</v>
      </c>
      <c r="H109" s="34">
        <f>115.768+1571.096</f>
        <v>1686.864</v>
      </c>
      <c r="I109" s="34">
        <f>ROUND(E109/H109*100,1)</f>
        <v>86.5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757.98099999999999</v>
      </c>
      <c r="E110" s="34">
        <v>837.31200000000001</v>
      </c>
      <c r="F110" s="18">
        <f>ROUND(E110/D110*100,1)</f>
        <v>110.5</v>
      </c>
      <c r="G110" s="18">
        <f t="shared" si="10"/>
        <v>79.331000000000017</v>
      </c>
      <c r="H110" s="34">
        <v>676.94200000000001</v>
      </c>
      <c r="I110" s="34">
        <f>ROUND(E110/H110*100,1)</f>
        <v>123.7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11683.035</v>
      </c>
      <c r="E111" s="34">
        <v>11683.035</v>
      </c>
      <c r="F111" s="18">
        <f>ROUND(E111/D111*100,1)</f>
        <v>100</v>
      </c>
      <c r="G111" s="18">
        <f t="shared" si="10"/>
        <v>0</v>
      </c>
      <c r="H111" s="34">
        <v>7868.6260000000002</v>
      </c>
      <c r="I111" s="34">
        <f>ROUND(E111/H111*100,1)</f>
        <v>148.5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34002.160000000003</v>
      </c>
      <c r="E112" s="34">
        <v>36976.925999999999</v>
      </c>
      <c r="F112" s="18">
        <f>ROUND(E112/D112*100,1)</f>
        <v>108.7</v>
      </c>
      <c r="G112" s="18">
        <f t="shared" si="10"/>
        <v>2974.765999999996</v>
      </c>
      <c r="H112" s="34">
        <v>29417.763999999999</v>
      </c>
      <c r="I112" s="34">
        <f>ROUND(E112/H112*100,1)</f>
        <v>125.7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65152.951000000001</v>
      </c>
      <c r="E113" s="6">
        <f>SUM(E115:E120)</f>
        <v>28909.328000000001</v>
      </c>
      <c r="F113" s="6">
        <f>ROUND(E113/D113*100,1)</f>
        <v>44.4</v>
      </c>
      <c r="G113" s="6">
        <f t="shared" si="10"/>
        <v>-36243.623</v>
      </c>
      <c r="H113" s="6">
        <f>SUM(H115:H120)</f>
        <v>27423.842999999997</v>
      </c>
      <c r="I113" s="6">
        <f>ROUND(E113/H113*100,1)</f>
        <v>105.4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1" si="11">E115-D115</f>
        <v>0</v>
      </c>
      <c r="H115" s="18"/>
      <c r="I115" s="18" t="e">
        <f t="shared" ref="I115:I121" si="12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1"/>
        <v>0</v>
      </c>
      <c r="H116" s="18"/>
      <c r="I116" s="18" t="e">
        <f t="shared" si="12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v>37500</v>
      </c>
      <c r="E117" s="18">
        <v>27954</v>
      </c>
      <c r="F117" s="18">
        <f>ROUND(E117/D117*100,1)</f>
        <v>74.5</v>
      </c>
      <c r="G117" s="18">
        <f t="shared" si="11"/>
        <v>-9546</v>
      </c>
      <c r="H117" s="18">
        <v>26058.117999999999</v>
      </c>
      <c r="I117" s="18">
        <f t="shared" si="12"/>
        <v>107.3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3029.5509999999999</v>
      </c>
      <c r="E118" s="35">
        <v>955.32799999999997</v>
      </c>
      <c r="F118" s="18">
        <f>ROUND(E118/D118*100,1)</f>
        <v>31.5</v>
      </c>
      <c r="G118" s="35">
        <f t="shared" si="11"/>
        <v>-2074.223</v>
      </c>
      <c r="H118" s="35">
        <v>1365.7249999999999</v>
      </c>
      <c r="I118" s="18">
        <f t="shared" si="12"/>
        <v>70</v>
      </c>
      <c r="J118" s="11" t="s">
        <v>139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1"/>
        <v>0</v>
      </c>
      <c r="H119" s="18"/>
      <c r="I119" s="18" t="e">
        <f t="shared" si="12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24623.4</v>
      </c>
      <c r="E120" s="18"/>
      <c r="F120" s="18">
        <f>ROUND(E120/D120*100,1)</f>
        <v>0</v>
      </c>
      <c r="G120" s="18">
        <f t="shared" si="11"/>
        <v>-24623.4</v>
      </c>
      <c r="H120" s="18"/>
      <c r="I120" s="18" t="e">
        <f t="shared" si="12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217100.69399999999</v>
      </c>
      <c r="E121" s="6">
        <f>E102+E113+E107</f>
        <v>151683.50699999998</v>
      </c>
      <c r="F121" s="6">
        <f>ROUND(E121/D121*100,1)</f>
        <v>69.900000000000006</v>
      </c>
      <c r="G121" s="6">
        <f t="shared" si="11"/>
        <v>-65417.187000000005</v>
      </c>
      <c r="H121" s="6">
        <f>H102+H113+H107</f>
        <v>147836.98199999999</v>
      </c>
      <c r="I121" s="6">
        <f t="shared" si="12"/>
        <v>102.6</v>
      </c>
      <c r="J121" s="11" t="s">
        <v>139</v>
      </c>
    </row>
    <row r="122" spans="1:13" ht="15.75">
      <c r="A122" s="34" t="s">
        <v>157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 collapsed="1">
      <c r="A125" s="34" t="s">
        <v>161</v>
      </c>
      <c r="B125" s="227" t="s">
        <v>162</v>
      </c>
      <c r="C125" s="18" t="s">
        <v>37</v>
      </c>
      <c r="D125" s="6">
        <f>SUM(D127:D130)</f>
        <v>843321.94099999999</v>
      </c>
      <c r="E125" s="6">
        <f>SUM(E127:E130)</f>
        <v>608263.57299999997</v>
      </c>
      <c r="F125" s="6">
        <f t="shared" ref="F125:F130" si="13">ROUND(E125/D125*100,1)</f>
        <v>72.099999999999994</v>
      </c>
      <c r="G125" s="6">
        <f t="shared" ref="G125:G151" si="14">E125-D125</f>
        <v>-235058.36800000002</v>
      </c>
      <c r="H125" s="6">
        <f>SUM(H127:H130)</f>
        <v>512923.50700000004</v>
      </c>
      <c r="I125" s="6">
        <f>ROUND(E125/H125*100,1)</f>
        <v>118.6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4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521634.42</v>
      </c>
      <c r="E127" s="18">
        <v>287782.55200000003</v>
      </c>
      <c r="F127" s="18">
        <f t="shared" si="13"/>
        <v>55.2</v>
      </c>
      <c r="G127" s="18">
        <f t="shared" si="14"/>
        <v>-233851.86799999996</v>
      </c>
      <c r="H127" s="18">
        <v>225511.88800000001</v>
      </c>
      <c r="I127" s="18">
        <f>ROUND(E127/H127*100,1)</f>
        <v>127.6</v>
      </c>
      <c r="J127" s="11" t="s">
        <v>139</v>
      </c>
    </row>
    <row r="128" spans="1:13" ht="18" customHeight="1">
      <c r="A128" s="34"/>
      <c r="B128" s="228" t="s">
        <v>273</v>
      </c>
      <c r="C128" s="18" t="s">
        <v>37</v>
      </c>
      <c r="D128" s="18">
        <f>175730.317+21087.635</f>
        <v>196817.95200000002</v>
      </c>
      <c r="E128" s="18">
        <f>172190.934+20658.988</f>
        <v>192849.92200000002</v>
      </c>
      <c r="F128" s="18">
        <f t="shared" si="13"/>
        <v>98</v>
      </c>
      <c r="G128" s="18">
        <f t="shared" si="14"/>
        <v>-3968.0299999999988</v>
      </c>
      <c r="H128" s="18">
        <f>145840.877+17500.784</f>
        <v>163341.66100000002</v>
      </c>
      <c r="I128" s="18">
        <f>ROUND(E128/H128*100,1)</f>
        <v>118.1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102679.012</v>
      </c>
      <c r="E129" s="18">
        <v>102496.541</v>
      </c>
      <c r="F129" s="18">
        <f t="shared" si="13"/>
        <v>99.8</v>
      </c>
      <c r="G129" s="18">
        <f t="shared" si="14"/>
        <v>-182.47100000000501</v>
      </c>
      <c r="H129" s="18">
        <v>102580.482</v>
      </c>
      <c r="I129" s="18">
        <f>ROUND(E129/H129*100,1)</f>
        <v>99.9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22190.557000000001</v>
      </c>
      <c r="E130" s="18">
        <v>25134.558000000001</v>
      </c>
      <c r="F130" s="18">
        <f t="shared" si="13"/>
        <v>113.3</v>
      </c>
      <c r="G130" s="18">
        <f t="shared" si="14"/>
        <v>2944.0010000000002</v>
      </c>
      <c r="H130" s="18">
        <v>21489.475999999999</v>
      </c>
      <c r="I130" s="18">
        <f>ROUND(E130/H130*100,1)</f>
        <v>117</v>
      </c>
      <c r="J130" s="11" t="s">
        <v>139</v>
      </c>
    </row>
    <row r="131" spans="1:13" ht="23.25" customHeight="1">
      <c r="A131" s="18" t="s">
        <v>168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6">
        <v>2468534</v>
      </c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4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34">
        <v>1558506.405</v>
      </c>
      <c r="F133" s="34"/>
      <c r="G133" s="34">
        <f t="shared" si="14"/>
        <v>1558506.405</v>
      </c>
      <c r="H133" s="34">
        <v>1733559</v>
      </c>
      <c r="I133" s="34">
        <f>IF(H133&gt;0,ROUND(E133/H133*100,1),0)</f>
        <v>89.9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4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830731.82299999997</v>
      </c>
      <c r="F135" s="18"/>
      <c r="G135" s="18">
        <f t="shared" si="14"/>
        <v>830731.82299999997</v>
      </c>
      <c r="H135" s="18">
        <v>937259</v>
      </c>
      <c r="I135" s="18">
        <f t="shared" ref="I135:I143" si="15">IF(H135&gt;0,ROUND(E135/H135*100,1),0)</f>
        <v>88.6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344.52699999999999</v>
      </c>
      <c r="F136" s="18"/>
      <c r="G136" s="18">
        <f t="shared" si="14"/>
        <v>344.52699999999999</v>
      </c>
      <c r="H136" s="18">
        <v>702</v>
      </c>
      <c r="I136" s="18">
        <f t="shared" si="15"/>
        <v>49.1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v>811786.67500000005</v>
      </c>
      <c r="F137" s="18"/>
      <c r="G137" s="18">
        <f t="shared" si="14"/>
        <v>811786.67500000005</v>
      </c>
      <c r="H137" s="18">
        <v>734975</v>
      </c>
      <c r="I137" s="18">
        <f t="shared" si="15"/>
        <v>110.5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4"/>
        <v>0</v>
      </c>
      <c r="H138" s="18"/>
      <c r="I138" s="18">
        <f t="shared" si="15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v>220832.59700000001</v>
      </c>
      <c r="F139" s="18"/>
      <c r="G139" s="81">
        <f t="shared" si="14"/>
        <v>220832.59700000001</v>
      </c>
      <c r="H139" s="81">
        <v>166221</v>
      </c>
      <c r="I139" s="18">
        <f t="shared" si="15"/>
        <v>132.9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4"/>
        <v>0</v>
      </c>
      <c r="H140" s="18"/>
      <c r="I140" s="18">
        <f t="shared" si="15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110504.173</v>
      </c>
      <c r="F141" s="18"/>
      <c r="G141" s="18">
        <f t="shared" si="14"/>
        <v>110504.173</v>
      </c>
      <c r="H141" s="18">
        <v>107402</v>
      </c>
      <c r="I141" s="18">
        <f t="shared" si="15"/>
        <v>102.9</v>
      </c>
      <c r="K141" t="s">
        <v>170</v>
      </c>
      <c r="L141" t="s">
        <v>170</v>
      </c>
      <c r="M141" t="s">
        <v>182</v>
      </c>
    </row>
    <row r="142" spans="1:13" ht="15.75">
      <c r="A142" s="34"/>
      <c r="B142" s="228" t="s">
        <v>183</v>
      </c>
      <c r="C142" s="18" t="s">
        <v>37</v>
      </c>
      <c r="D142" s="18"/>
      <c r="E142" s="18">
        <v>102149.11</v>
      </c>
      <c r="F142" s="18"/>
      <c r="G142" s="18">
        <f t="shared" si="14"/>
        <v>102149.11</v>
      </c>
      <c r="H142" s="18">
        <v>50871</v>
      </c>
      <c r="I142" s="18">
        <f t="shared" si="15"/>
        <v>200.8</v>
      </c>
      <c r="K142" t="s">
        <v>170</v>
      </c>
      <c r="L142" t="s">
        <v>170</v>
      </c>
      <c r="M142" t="s">
        <v>184</v>
      </c>
    </row>
    <row r="143" spans="1:13" ht="15.75">
      <c r="A143" s="34"/>
      <c r="B143" s="237" t="s">
        <v>185</v>
      </c>
      <c r="C143" s="18" t="s">
        <v>37</v>
      </c>
      <c r="D143" s="18"/>
      <c r="E143" s="18">
        <v>6661.2759999999998</v>
      </c>
      <c r="F143" s="18"/>
      <c r="G143" s="18">
        <f>E143-D143</f>
        <v>6661.2759999999998</v>
      </c>
      <c r="H143" s="18">
        <v>3912</v>
      </c>
      <c r="I143" s="18">
        <f t="shared" si="15"/>
        <v>170.3</v>
      </c>
      <c r="K143" t="s">
        <v>170</v>
      </c>
      <c r="L143" t="s">
        <v>170</v>
      </c>
      <c r="M143" t="s">
        <v>186</v>
      </c>
    </row>
    <row r="144" spans="1:13" ht="18" customHeight="1">
      <c r="A144" s="34"/>
      <c r="B144" s="34" t="s">
        <v>163</v>
      </c>
      <c r="C144" s="18" t="s">
        <v>37</v>
      </c>
      <c r="D144" s="18"/>
      <c r="E144" s="18"/>
      <c r="F144" s="18"/>
      <c r="G144" s="18">
        <f t="shared" si="14"/>
        <v>0</v>
      </c>
      <c r="H144" s="18"/>
      <c r="I144" s="18"/>
      <c r="K144" t="s">
        <v>170</v>
      </c>
      <c r="L144" t="s">
        <v>170</v>
      </c>
    </row>
    <row r="145" spans="1:12" ht="15.75">
      <c r="A145" s="34"/>
      <c r="B145" s="224" t="s">
        <v>187</v>
      </c>
      <c r="C145" s="18" t="s">
        <v>37</v>
      </c>
      <c r="D145" s="18"/>
      <c r="E145" s="18"/>
      <c r="F145" s="18"/>
      <c r="G145" s="18">
        <f t="shared" si="14"/>
        <v>0</v>
      </c>
      <c r="H145" s="18"/>
      <c r="I145" s="18">
        <f>IF(H145&gt;0,ROUND(E145/H145*100,1),0)</f>
        <v>0</v>
      </c>
      <c r="K145" t="s">
        <v>170</v>
      </c>
    </row>
    <row r="146" spans="1:12" ht="18.75" hidden="1" customHeight="1" outlineLevel="1">
      <c r="A146" s="34" t="s">
        <v>188</v>
      </c>
      <c r="B146" s="220" t="s">
        <v>189</v>
      </c>
      <c r="C146" s="18" t="s">
        <v>37</v>
      </c>
      <c r="D146" s="18"/>
      <c r="E146" s="18"/>
      <c r="F146" s="18"/>
      <c r="G146" s="18">
        <f>E146-D146</f>
        <v>0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34">
        <v>30</v>
      </c>
      <c r="B147" s="220" t="s">
        <v>190</v>
      </c>
      <c r="C147" s="18" t="s">
        <v>37</v>
      </c>
      <c r="D147" s="18"/>
      <c r="E147" s="18">
        <v>471809.50799999997</v>
      </c>
      <c r="F147" s="18"/>
      <c r="G147" s="18">
        <f>E147-D147</f>
        <v>471809.50799999997</v>
      </c>
      <c r="H147" s="18">
        <v>405597</v>
      </c>
      <c r="I147" s="18">
        <f>ROUND(E147/H147*100,1)</f>
        <v>116.3</v>
      </c>
      <c r="K147" t="s">
        <v>170</v>
      </c>
      <c r="L147" t="s">
        <v>191</v>
      </c>
    </row>
    <row r="148" spans="1:12" ht="15.75" hidden="1" outlineLevel="1">
      <c r="A148" s="34"/>
      <c r="B148" s="34" t="s">
        <v>12</v>
      </c>
      <c r="C148" s="18" t="s">
        <v>37</v>
      </c>
      <c r="D148" s="18"/>
      <c r="E148" s="18"/>
      <c r="F148" s="18"/>
      <c r="G148" s="18">
        <f t="shared" si="14"/>
        <v>0</v>
      </c>
      <c r="H148" s="18"/>
      <c r="I148" s="18"/>
      <c r="K148" t="s">
        <v>170</v>
      </c>
    </row>
    <row r="149" spans="1:12" ht="15.75" hidden="1" outlineLevel="1">
      <c r="A149" s="34"/>
      <c r="B149" s="220" t="s">
        <v>192</v>
      </c>
      <c r="C149" s="18" t="s">
        <v>37</v>
      </c>
      <c r="D149" s="18"/>
      <c r="E149" s="18"/>
      <c r="F149" s="18"/>
      <c r="G149" s="18">
        <f t="shared" si="14"/>
        <v>0</v>
      </c>
      <c r="H149" s="18"/>
      <c r="I149" s="18"/>
      <c r="K149" t="s">
        <v>170</v>
      </c>
    </row>
    <row r="150" spans="1:12" ht="15.75" hidden="1" outlineLevel="1">
      <c r="A150" s="34"/>
      <c r="B150" s="220" t="s">
        <v>193</v>
      </c>
      <c r="C150" s="18" t="s">
        <v>37</v>
      </c>
      <c r="D150" s="18"/>
      <c r="E150" s="18"/>
      <c r="F150" s="18"/>
      <c r="G150" s="18">
        <f t="shared" si="14"/>
        <v>0</v>
      </c>
      <c r="H150" s="18"/>
      <c r="I150" s="18" t="e">
        <f>ROUND(E150/H150*100,1)</f>
        <v>#DIV/0!</v>
      </c>
      <c r="K150" t="s">
        <v>170</v>
      </c>
    </row>
    <row r="151" spans="1:12" ht="15.75" collapsed="1">
      <c r="A151" s="34">
        <v>31</v>
      </c>
      <c r="B151" s="220" t="s">
        <v>194</v>
      </c>
      <c r="C151" s="18" t="s">
        <v>37</v>
      </c>
      <c r="D151" s="18"/>
      <c r="E151" s="18">
        <v>329358.24</v>
      </c>
      <c r="F151" s="18"/>
      <c r="G151" s="18">
        <f t="shared" si="14"/>
        <v>329358.24</v>
      </c>
      <c r="H151" s="18">
        <v>344139</v>
      </c>
      <c r="I151" s="18">
        <f>ROUND(E151/H151*100,1)</f>
        <v>95.7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40"/>
      <c r="F152" s="40"/>
      <c r="G152" s="40"/>
      <c r="H152" s="41"/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40"/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40"/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40"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40"/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ht="48.75" customHeight="1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'[4]2019'!$G$164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'[5]2019'!B168</f>
        <v>Начальник ОЭАиП</v>
      </c>
      <c r="C166" s="46"/>
      <c r="D166" s="46"/>
      <c r="E166" s="46"/>
      <c r="F166" s="48"/>
      <c r="G166" s="46" t="s">
        <v>251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B169" s="207" t="s">
        <v>243</v>
      </c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71"/>
  <sheetViews>
    <sheetView showZeros="0" view="pageBreakPreview" topLeftCell="B1" zoomScale="90" zoomScaleNormal="100" zoomScaleSheetLayoutView="90" workbookViewId="0">
      <pane ySplit="3" topLeftCell="A4" activePane="bottomLeft" state="frozen"/>
      <selection activeCell="K11" sqref="K11"/>
      <selection pane="bottomLeft" activeCell="K22" sqref="K22"/>
    </sheetView>
  </sheetViews>
  <sheetFormatPr defaultRowHeight="12.75" outlineLevelRow="1" outlineLevelCol="1"/>
  <cols>
    <col min="1" max="1" width="6.140625" bestFit="1" customWidth="1"/>
    <col min="2" max="2" width="56.140625" customWidth="1"/>
    <col min="3" max="3" width="10" customWidth="1" outlineLevel="1"/>
    <col min="4" max="4" width="11.85546875" customWidth="1" outlineLevel="1"/>
    <col min="5" max="5" width="13.42578125" customWidth="1" outlineLevel="1"/>
    <col min="6" max="6" width="9.7109375" customWidth="1" outlineLevel="1"/>
    <col min="7" max="7" width="12.42578125" customWidth="1" outlineLevel="1"/>
    <col min="8" max="8" width="13.28515625" customWidth="1"/>
    <col min="9" max="9" width="11.140625" customWidth="1"/>
    <col min="10" max="10" width="8.7109375" customWidth="1" outlineLevel="1"/>
    <col min="11" max="11" width="13.28515625" customWidth="1" outlineLevel="1"/>
    <col min="12" max="12" width="12.42578125" customWidth="1" outlineLevel="1"/>
    <col min="13" max="13" width="13.5703125" customWidth="1" outlineLevel="1"/>
    <col min="14" max="14" width="12" customWidth="1" outlineLevel="1"/>
  </cols>
  <sheetData>
    <row r="1" spans="1:10" ht="48" customHeight="1">
      <c r="A1" s="282" t="s">
        <v>274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275</v>
      </c>
      <c r="E2" s="289"/>
      <c r="F2" s="289"/>
      <c r="G2" s="289"/>
      <c r="H2" s="290" t="s">
        <v>276</v>
      </c>
      <c r="I2" s="288" t="s">
        <v>3</v>
      </c>
    </row>
    <row r="3" spans="1:10" ht="29.45" customHeight="1">
      <c r="A3" s="286"/>
      <c r="B3" s="287"/>
      <c r="C3" s="287"/>
      <c r="D3" s="251" t="s">
        <v>4</v>
      </c>
      <c r="E3" s="250" t="s">
        <v>282</v>
      </c>
      <c r="F3" s="250" t="s">
        <v>6</v>
      </c>
      <c r="G3" s="250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53">
        <f>D7+D8+D9</f>
        <v>5800</v>
      </c>
      <c r="E5" s="253">
        <f>E7+E8+E9</f>
        <v>5835.96</v>
      </c>
      <c r="F5" s="253">
        <f>ROUND(E5/D5*100,1)</f>
        <v>100.6</v>
      </c>
      <c r="G5" s="253">
        <f>E5-D5</f>
        <v>35.960000000000036</v>
      </c>
      <c r="H5" s="6">
        <v>5073.8787000000002</v>
      </c>
      <c r="I5" s="6">
        <f>IF(H5&gt;0,ROUND(E5/H5*100,1),0)</f>
        <v>115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>
        <v>0</v>
      </c>
      <c r="I6" s="7"/>
    </row>
    <row r="7" spans="1:10" ht="15.75">
      <c r="A7" s="7"/>
      <c r="B7" s="218" t="s">
        <v>13</v>
      </c>
      <c r="C7" s="7" t="s">
        <v>11</v>
      </c>
      <c r="D7" s="34">
        <v>4742.5</v>
      </c>
      <c r="E7" s="34">
        <v>4947.076</v>
      </c>
      <c r="F7" s="34">
        <f>ROUND(E7/D7*100,1)</f>
        <v>104.3</v>
      </c>
      <c r="G7" s="34">
        <f>E7-D7</f>
        <v>204.57600000000002</v>
      </c>
      <c r="H7" s="34">
        <v>4542.6880000000001</v>
      </c>
      <c r="I7" s="9">
        <f>IF(H7&gt;0,ROUND(E7/H7*100,1),0)</f>
        <v>108.9</v>
      </c>
    </row>
    <row r="8" spans="1:10" ht="15.75">
      <c r="A8" s="7"/>
      <c r="B8" s="218" t="s">
        <v>14</v>
      </c>
      <c r="C8" s="7" t="s">
        <v>11</v>
      </c>
      <c r="D8" s="34">
        <v>57.5</v>
      </c>
      <c r="E8" s="34">
        <v>57.526000000000003</v>
      </c>
      <c r="F8" s="34">
        <f>ROUND(E8/D8*100,1)</f>
        <v>100</v>
      </c>
      <c r="G8" s="34">
        <f>E8-D8</f>
        <v>2.6000000000003354E-2</v>
      </c>
      <c r="H8" s="34">
        <v>62.192999999999998</v>
      </c>
      <c r="I8" s="9">
        <f>IF(H8&gt;0,ROUND(E8/H8*100,1),0)</f>
        <v>92.5</v>
      </c>
    </row>
    <row r="9" spans="1:10" ht="15.75">
      <c r="A9" s="7"/>
      <c r="B9" s="218" t="s">
        <v>15</v>
      </c>
      <c r="C9" s="7" t="s">
        <v>11</v>
      </c>
      <c r="D9" s="34">
        <v>1000</v>
      </c>
      <c r="E9" s="34">
        <v>831.35799999999995</v>
      </c>
      <c r="F9" s="34">
        <f>ROUND(E9/D9*100,1)</f>
        <v>83.1</v>
      </c>
      <c r="G9" s="34">
        <f>E9-D9</f>
        <v>-168.64200000000005</v>
      </c>
      <c r="H9" s="34">
        <v>468.99770000000001</v>
      </c>
      <c r="I9" s="9">
        <f>IF(H9&gt;0,ROUND(E9/H9*100,1),0)</f>
        <v>177.3</v>
      </c>
    </row>
    <row r="10" spans="1:10" ht="15.75">
      <c r="A10" s="7" t="s">
        <v>16</v>
      </c>
      <c r="B10" s="217" t="s">
        <v>17</v>
      </c>
      <c r="C10" s="252" t="s">
        <v>11</v>
      </c>
      <c r="D10" s="6">
        <f>D12+D13</f>
        <v>650</v>
      </c>
      <c r="E10" s="6">
        <f>E12+E13</f>
        <v>866.58699999999999</v>
      </c>
      <c r="F10" s="253">
        <f>ROUND(E10/D10*100,1)</f>
        <v>133.30000000000001</v>
      </c>
      <c r="G10" s="253">
        <f>E10-D10</f>
        <v>216.58699999999999</v>
      </c>
      <c r="H10" s="6">
        <v>815.62099999999998</v>
      </c>
      <c r="I10" s="252">
        <f t="shared" ref="I10:I28" si="0">IF(H10&gt;0,ROUND(E10/H10*100,1),0)</f>
        <v>106.2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>
        <v>0</v>
      </c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250</v>
      </c>
      <c r="E12" s="34">
        <v>325.221</v>
      </c>
      <c r="F12" s="34">
        <f>ROUND(E12/D12*100,1)</f>
        <v>130.1</v>
      </c>
      <c r="G12" s="34">
        <f>E12-D12</f>
        <v>75.221000000000004</v>
      </c>
      <c r="H12" s="34">
        <v>441.96699999999998</v>
      </c>
      <c r="I12" s="9">
        <f t="shared" si="0"/>
        <v>73.599999999999994</v>
      </c>
    </row>
    <row r="13" spans="1:10" ht="15.75">
      <c r="A13" s="7"/>
      <c r="B13" s="218" t="s">
        <v>19</v>
      </c>
      <c r="C13" s="7" t="s">
        <v>11</v>
      </c>
      <c r="D13" s="34">
        <v>400</v>
      </c>
      <c r="E13" s="34">
        <v>541.36599999999999</v>
      </c>
      <c r="F13" s="34">
        <f>ROUND(E13/D13*100,1)</f>
        <v>135.30000000000001</v>
      </c>
      <c r="G13" s="34">
        <f>E13-D13</f>
        <v>141.36599999999999</v>
      </c>
      <c r="H13" s="34">
        <v>373.654</v>
      </c>
      <c r="I13" s="9">
        <f t="shared" si="0"/>
        <v>144.9</v>
      </c>
    </row>
    <row r="14" spans="1:10" ht="15.75">
      <c r="A14" s="7" t="s">
        <v>20</v>
      </c>
      <c r="B14" s="217" t="s">
        <v>21</v>
      </c>
      <c r="C14" s="89" t="s">
        <v>11</v>
      </c>
      <c r="D14" s="253">
        <f>D16+D17+D18</f>
        <v>5257.4949999999999</v>
      </c>
      <c r="E14" s="253">
        <f>E16+E17+E18</f>
        <v>5396.7219999999998</v>
      </c>
      <c r="F14" s="253">
        <f>ROUND(E14/D14*100,1)</f>
        <v>102.6</v>
      </c>
      <c r="G14" s="253">
        <f>E14-D14</f>
        <v>139.22699999999986</v>
      </c>
      <c r="H14" s="6">
        <v>5318.3</v>
      </c>
      <c r="I14" s="9">
        <f t="shared" si="0"/>
        <v>101.5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>
        <v>0</v>
      </c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4338.7</v>
      </c>
      <c r="E16" s="34">
        <v>4547.835</v>
      </c>
      <c r="F16" s="34">
        <f>ROUND(E16/D16*100,1)</f>
        <v>104.8</v>
      </c>
      <c r="G16" s="34">
        <f>E16-D16</f>
        <v>209.13500000000022</v>
      </c>
      <c r="H16" s="34">
        <v>4605.4390000000003</v>
      </c>
      <c r="I16" s="9">
        <f t="shared" si="0"/>
        <v>98.7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57.494999999999997</v>
      </c>
      <c r="E17" s="34">
        <v>57.595999999999997</v>
      </c>
      <c r="F17" s="34">
        <f>ROUND(E17/D17*100,1)</f>
        <v>100.2</v>
      </c>
      <c r="G17" s="34">
        <f>E17-D17</f>
        <v>0.10099999999999909</v>
      </c>
      <c r="H17" s="34">
        <v>62.009</v>
      </c>
      <c r="I17" s="9">
        <f t="shared" si="0"/>
        <v>92.9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v>861.3</v>
      </c>
      <c r="E18" s="34">
        <v>791.29100000000005</v>
      </c>
      <c r="F18" s="34">
        <f>ROUND(E18/D18*100,1)</f>
        <v>91.9</v>
      </c>
      <c r="G18" s="34">
        <f>E18-D18</f>
        <v>-70.008999999999901</v>
      </c>
      <c r="H18" s="18">
        <v>650.85199999999998</v>
      </c>
      <c r="I18" s="9">
        <f t="shared" si="0"/>
        <v>121.6</v>
      </c>
    </row>
    <row r="19" spans="1:12" ht="18.75">
      <c r="A19" s="7" t="s">
        <v>23</v>
      </c>
      <c r="B19" s="217" t="s">
        <v>24</v>
      </c>
      <c r="C19" s="89" t="s">
        <v>25</v>
      </c>
      <c r="D19" s="253">
        <f>D21+D22+D23+D24</f>
        <v>25836.048999999999</v>
      </c>
      <c r="E19" s="253">
        <f>E21+E22+E23+E24</f>
        <v>23102.03</v>
      </c>
      <c r="F19" s="253">
        <f>ROUND(E19/D19*100,1)</f>
        <v>89.4</v>
      </c>
      <c r="G19" s="253">
        <f>E19-D19</f>
        <v>-2734.0190000000002</v>
      </c>
      <c r="H19" s="6">
        <v>17375.77</v>
      </c>
      <c r="I19" s="9">
        <f t="shared" si="0"/>
        <v>133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>
        <v>0</v>
      </c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6647.7</v>
      </c>
      <c r="E21" s="34">
        <v>6133.5119999999997</v>
      </c>
      <c r="F21" s="34">
        <f>ROUND(E21/D21*100,1)</f>
        <v>92.3</v>
      </c>
      <c r="G21" s="34">
        <f t="shared" ref="G21:G31" si="1">E21-D21</f>
        <v>-514.1880000000001</v>
      </c>
      <c r="H21" s="34">
        <v>6284.2309999999998</v>
      </c>
      <c r="I21" s="9">
        <f t="shared" si="0"/>
        <v>97.6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19188.348999999998</v>
      </c>
      <c r="E22" s="34">
        <v>16968.518</v>
      </c>
      <c r="F22" s="34">
        <f>ROUND(E22/D22*100,1)</f>
        <v>88.4</v>
      </c>
      <c r="G22" s="34">
        <f t="shared" si="1"/>
        <v>-2219.8309999999983</v>
      </c>
      <c r="H22" s="34">
        <v>11091.539000000001</v>
      </c>
      <c r="I22" s="9">
        <f t="shared" si="0"/>
        <v>153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>
        <v>0</v>
      </c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/>
      <c r="E24" s="195"/>
      <c r="F24" s="195">
        <v>0</v>
      </c>
      <c r="G24" s="195">
        <v>0</v>
      </c>
      <c r="H24" s="34">
        <v>0</v>
      </c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2443</v>
      </c>
      <c r="E25" s="18">
        <v>2543</v>
      </c>
      <c r="F25" s="18">
        <f t="shared" ref="F25:F29" si="2">ROUND(E25/D25*100,1)</f>
        <v>104.1</v>
      </c>
      <c r="G25" s="18">
        <f t="shared" si="1"/>
        <v>100</v>
      </c>
      <c r="H25" s="34">
        <v>1424</v>
      </c>
      <c r="I25" s="9">
        <f t="shared" si="0"/>
        <v>178.6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1291552.3389999999</v>
      </c>
      <c r="E26" s="18">
        <v>1313366.2649999999</v>
      </c>
      <c r="F26" s="18">
        <f t="shared" si="2"/>
        <v>101.7</v>
      </c>
      <c r="G26" s="18">
        <f t="shared" si="1"/>
        <v>21813.925999999978</v>
      </c>
      <c r="H26" s="18">
        <v>1144272.399</v>
      </c>
      <c r="I26" s="18">
        <f t="shared" si="0"/>
        <v>114.8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224.096</v>
      </c>
      <c r="E27" s="242">
        <v>76.680000000000007</v>
      </c>
      <c r="F27" s="18">
        <f t="shared" si="2"/>
        <v>34.200000000000003</v>
      </c>
      <c r="G27" s="18">
        <f>E27-D27</f>
        <v>-147.416</v>
      </c>
      <c r="H27" s="34">
        <v>14.151</v>
      </c>
      <c r="I27" s="18">
        <f t="shared" si="0"/>
        <v>541.9</v>
      </c>
      <c r="J27" t="s">
        <v>22</v>
      </c>
      <c r="K27"/>
    </row>
    <row r="28" spans="1:12" ht="31.5">
      <c r="A28" s="7" t="s">
        <v>39</v>
      </c>
      <c r="B28" s="219" t="s">
        <v>40</v>
      </c>
      <c r="C28" s="18" t="s">
        <v>37</v>
      </c>
      <c r="D28" s="18">
        <v>241354.1</v>
      </c>
      <c r="E28" s="18">
        <v>281322.90299999999</v>
      </c>
      <c r="F28" s="18">
        <f t="shared" si="2"/>
        <v>116.6</v>
      </c>
      <c r="G28" s="18">
        <f t="shared" si="1"/>
        <v>39968.802999999985</v>
      </c>
      <c r="H28" s="18">
        <v>205011.99400000001</v>
      </c>
      <c r="I28" s="9">
        <f t="shared" si="0"/>
        <v>137.19999999999999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5135.7</v>
      </c>
      <c r="E29" s="18">
        <v>5493.2</v>
      </c>
      <c r="F29" s="18">
        <f t="shared" si="2"/>
        <v>107</v>
      </c>
      <c r="G29" s="18">
        <f t="shared" si="1"/>
        <v>357.5</v>
      </c>
      <c r="H29" s="34">
        <v>6879.451</v>
      </c>
      <c r="I29" s="9">
        <f>IF(H29&gt;0,ROUND(E29/H29*100,1),0)</f>
        <v>79.8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44</v>
      </c>
      <c r="B32" s="219" t="s">
        <v>48</v>
      </c>
      <c r="C32" s="18" t="s">
        <v>37</v>
      </c>
      <c r="D32" s="23"/>
      <c r="E32" s="23"/>
      <c r="F32" s="23"/>
      <c r="G32" s="23"/>
      <c r="H32" s="18">
        <v>0</v>
      </c>
      <c r="I32" s="18">
        <f>IF(H32&gt;0,ROUND(E32/H32*100,1),0)</f>
        <v>0</v>
      </c>
    </row>
    <row r="33" spans="1:10" ht="15.75">
      <c r="A33" s="7" t="s">
        <v>47</v>
      </c>
      <c r="B33" s="217" t="s">
        <v>50</v>
      </c>
      <c r="C33" s="18" t="s">
        <v>37</v>
      </c>
      <c r="D33" s="26">
        <f>D35+D39+D40+D41+D42+D43+D45+D44</f>
        <v>137888.39500000008</v>
      </c>
      <c r="E33" s="26">
        <f>E35+E39+E40+E41+E42+E43+E45+E44</f>
        <v>190382.96399999998</v>
      </c>
      <c r="F33" s="26"/>
      <c r="G33" s="26">
        <f t="shared" ref="G33:G44" si="3">E33-D33</f>
        <v>52494.568999999901</v>
      </c>
      <c r="H33" s="26">
        <v>-28876.72099999999</v>
      </c>
      <c r="I33" s="26">
        <f>IF(H33&gt;0,ROUND(E33/H33*100,1),0)</f>
        <v>0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3"/>
        <v>0</v>
      </c>
      <c r="H34" s="28" t="s">
        <v>73</v>
      </c>
      <c r="I34" s="28"/>
    </row>
    <row r="35" spans="1:10" ht="15.75">
      <c r="A35" s="34"/>
      <c r="B35" s="223" t="s">
        <v>53</v>
      </c>
      <c r="C35" s="18" t="s">
        <v>37</v>
      </c>
      <c r="D35" s="28">
        <f>D37+D38</f>
        <v>983.04600000008145</v>
      </c>
      <c r="E35" s="28">
        <f>E96</f>
        <v>54055.03499999996</v>
      </c>
      <c r="F35" s="28"/>
      <c r="G35" s="28">
        <f t="shared" si="3"/>
        <v>53071.988999999878</v>
      </c>
      <c r="H35" s="28">
        <v>55468.876000000047</v>
      </c>
      <c r="I35" s="28">
        <f>IF(H35&gt;0,ROUND(E35/H35*100,1),0)</f>
        <v>97.5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8"/>
      <c r="E36" s="28"/>
      <c r="F36" s="28"/>
      <c r="G36" s="28"/>
      <c r="H36" s="28">
        <v>0</v>
      </c>
      <c r="I36" s="28"/>
    </row>
    <row r="37" spans="1:10" ht="15.75">
      <c r="A37" s="34"/>
      <c r="B37" s="224" t="s">
        <v>55</v>
      </c>
      <c r="C37" s="18" t="s">
        <v>37</v>
      </c>
      <c r="D37" s="28"/>
      <c r="E37" s="28"/>
      <c r="F37" s="28"/>
      <c r="G37" s="28"/>
      <c r="H37" s="28">
        <v>55468.876000000047</v>
      </c>
      <c r="I37" s="28"/>
    </row>
    <row r="38" spans="1:10" ht="15.75">
      <c r="A38" s="34"/>
      <c r="B38" s="224" t="s">
        <v>56</v>
      </c>
      <c r="C38" s="18" t="s">
        <v>37</v>
      </c>
      <c r="D38" s="28">
        <f>D96</f>
        <v>983.04600000008145</v>
      </c>
      <c r="E38" s="28">
        <f>E35</f>
        <v>54055.03499999996</v>
      </c>
      <c r="F38" s="28"/>
      <c r="G38" s="28">
        <f t="shared" si="3"/>
        <v>53071.988999999878</v>
      </c>
      <c r="H38" s="28">
        <v>0</v>
      </c>
      <c r="I38" s="28"/>
    </row>
    <row r="39" spans="1:10" ht="15.75">
      <c r="A39" s="34"/>
      <c r="B39" s="223" t="s">
        <v>57</v>
      </c>
      <c r="C39" s="18" t="s">
        <v>37</v>
      </c>
      <c r="D39" s="28">
        <f>D129</f>
        <v>136905.34899999999</v>
      </c>
      <c r="E39" s="28">
        <f>E129</f>
        <v>136327.929</v>
      </c>
      <c r="F39" s="28">
        <f t="shared" ref="F39" si="4">ROUND(E39/D39*100,1)</f>
        <v>99.6</v>
      </c>
      <c r="G39" s="28">
        <f t="shared" si="3"/>
        <v>-577.4199999999837</v>
      </c>
      <c r="H39" s="28">
        <v>136492.14499999999</v>
      </c>
      <c r="I39" s="28">
        <f>IF(H39&gt;0,ROUND(E39/H39*100,1),0)</f>
        <v>99.9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3"/>
        <v>0</v>
      </c>
      <c r="H40" s="28">
        <v>0</v>
      </c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3"/>
        <v>0</v>
      </c>
      <c r="H41" s="28">
        <v>0</v>
      </c>
      <c r="I41" s="28"/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3"/>
        <v>0</v>
      </c>
      <c r="H42" s="28">
        <v>0</v>
      </c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3"/>
        <v>0</v>
      </c>
      <c r="H43" s="28">
        <v>0</v>
      </c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3"/>
        <v>0</v>
      </c>
      <c r="H44" s="28">
        <v>0</v>
      </c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28">
        <v>0</v>
      </c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49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67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76</v>
      </c>
      <c r="B59" s="220" t="s">
        <v>85</v>
      </c>
      <c r="C59" s="18" t="s">
        <v>86</v>
      </c>
      <c r="D59" s="28">
        <v>6117</v>
      </c>
      <c r="E59" s="28">
        <v>5573</v>
      </c>
      <c r="F59" s="28">
        <f>ROUND(E59/D59*100,1)</f>
        <v>91.1</v>
      </c>
      <c r="G59" s="28">
        <f>E59-D59</f>
        <v>-544</v>
      </c>
      <c r="H59" s="28">
        <v>5682</v>
      </c>
      <c r="I59" s="28">
        <f t="shared" ref="I59:I64" si="5">IF(H59&gt;0,ROUND(E59/H59*100,1),0)</f>
        <v>98.1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>
        <v>0</v>
      </c>
      <c r="I60" s="28">
        <f t="shared" si="5"/>
        <v>0</v>
      </c>
    </row>
    <row r="61" spans="1:12" ht="15.75" collapsed="1">
      <c r="A61" s="34" t="s">
        <v>84</v>
      </c>
      <c r="B61" s="220" t="s">
        <v>92</v>
      </c>
      <c r="C61" s="18" t="s">
        <v>37</v>
      </c>
      <c r="D61" s="33">
        <v>312999.09999999998</v>
      </c>
      <c r="E61" s="33">
        <v>346803.5</v>
      </c>
      <c r="F61" s="28">
        <f>ROUND(E61/D61*100,1)</f>
        <v>110.8</v>
      </c>
      <c r="G61" s="28">
        <f>E61-D61</f>
        <v>33804.400000000023</v>
      </c>
      <c r="H61" s="28">
        <v>287577</v>
      </c>
      <c r="I61" s="28">
        <f t="shared" si="5"/>
        <v>120.6</v>
      </c>
      <c r="J61" t="s">
        <v>87</v>
      </c>
    </row>
    <row r="62" spans="1:12" ht="15.75">
      <c r="A62" s="34" t="s">
        <v>88</v>
      </c>
      <c r="B62" s="220" t="s">
        <v>94</v>
      </c>
      <c r="C62" s="18" t="s">
        <v>95</v>
      </c>
      <c r="D62" s="28">
        <f>D61/D59/12*1000</f>
        <v>4264.0605416598546</v>
      </c>
      <c r="E62" s="28">
        <v>5151.6000000000004</v>
      </c>
      <c r="F62" s="28">
        <f>ROUND(E62/D62*100,1)</f>
        <v>120.8</v>
      </c>
      <c r="G62" s="28">
        <f>E62-D62</f>
        <v>887.53945834014576</v>
      </c>
      <c r="H62" s="28">
        <v>4183.5</v>
      </c>
      <c r="I62" s="28">
        <f t="shared" si="5"/>
        <v>123.1</v>
      </c>
      <c r="J62" t="s">
        <v>87</v>
      </c>
      <c r="L62">
        <v>563699649</v>
      </c>
    </row>
    <row r="63" spans="1:12" ht="15.75">
      <c r="A63" s="34" t="s">
        <v>91</v>
      </c>
      <c r="B63" s="220" t="s">
        <v>97</v>
      </c>
      <c r="C63" s="18" t="s">
        <v>37</v>
      </c>
      <c r="D63" s="18"/>
      <c r="E63" s="18"/>
      <c r="F63" s="28"/>
      <c r="G63" s="18"/>
      <c r="H63" s="28">
        <v>981699</v>
      </c>
      <c r="I63" s="18">
        <f t="shared" si="5"/>
        <v>0</v>
      </c>
      <c r="J63" t="s">
        <v>58</v>
      </c>
      <c r="L63">
        <v>461145397.5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28">
        <v>0</v>
      </c>
      <c r="I64" s="59">
        <f t="shared" si="5"/>
        <v>0</v>
      </c>
      <c r="J64" s="31"/>
    </row>
    <row r="65" spans="1:13" ht="15.75" collapsed="1">
      <c r="A65" s="34" t="s">
        <v>93</v>
      </c>
      <c r="B65" s="220" t="s">
        <v>101</v>
      </c>
      <c r="C65" s="18" t="s">
        <v>102</v>
      </c>
      <c r="D65" s="60">
        <f>D125/D5*1000</f>
        <v>199735.64189655174</v>
      </c>
      <c r="E65" s="28">
        <v>138758.47</v>
      </c>
      <c r="F65" s="28">
        <f>ROUND(E65/D65*100,1)</f>
        <v>69.5</v>
      </c>
      <c r="G65" s="28">
        <f>E65-D65</f>
        <v>-60977.171896551736</v>
      </c>
      <c r="H65" s="28">
        <v>131572.17000000001</v>
      </c>
      <c r="I65" s="28">
        <f>ROUND(E65/H65*100,1)</f>
        <v>105.5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96</v>
      </c>
      <c r="B70" s="220" t="s">
        <v>108</v>
      </c>
      <c r="C70" s="18" t="s">
        <v>37</v>
      </c>
      <c r="D70" s="28">
        <v>1365338.1980000001</v>
      </c>
      <c r="E70" s="18">
        <v>1356588.612</v>
      </c>
      <c r="F70" s="18">
        <f t="shared" ref="F70:F96" si="6">ROUND(E70/D70*100,1)</f>
        <v>99.4</v>
      </c>
      <c r="G70" s="18">
        <f>E70-D70</f>
        <v>-8749.5860000001267</v>
      </c>
      <c r="H70" s="18">
        <v>1244877</v>
      </c>
      <c r="I70" s="18">
        <f t="shared" ref="I70:I85" si="7">ROUND(E70/H70*100,1)</f>
        <v>109</v>
      </c>
      <c r="J70" t="s">
        <v>103</v>
      </c>
      <c r="M70">
        <f>1759313-152984-76292-1017231</f>
        <v>512806</v>
      </c>
    </row>
    <row r="71" spans="1:13" ht="15.75">
      <c r="A71" s="34" t="s">
        <v>98</v>
      </c>
      <c r="B71" s="220" t="s">
        <v>110</v>
      </c>
      <c r="C71" s="18" t="s">
        <v>37</v>
      </c>
      <c r="D71" s="28">
        <v>1057985.635</v>
      </c>
      <c r="E71" s="18">
        <v>798809.17599999998</v>
      </c>
      <c r="F71" s="18">
        <f t="shared" si="6"/>
        <v>75.5</v>
      </c>
      <c r="G71" s="18">
        <f>E71-D71</f>
        <v>-259176.45900000003</v>
      </c>
      <c r="H71" s="18">
        <v>735937</v>
      </c>
      <c r="I71" s="18">
        <f t="shared" si="7"/>
        <v>108.5</v>
      </c>
      <c r="J71" t="s">
        <v>103</v>
      </c>
    </row>
    <row r="72" spans="1:13" ht="15.75">
      <c r="A72" s="34" t="s">
        <v>100</v>
      </c>
      <c r="B72" s="220" t="s">
        <v>112</v>
      </c>
      <c r="C72" s="18" t="s">
        <v>37</v>
      </c>
      <c r="D72" s="33">
        <f>D70-D71</f>
        <v>307352.56300000008</v>
      </c>
      <c r="E72" s="33">
        <f>E70-E71</f>
        <v>557779.43599999999</v>
      </c>
      <c r="F72" s="34">
        <f t="shared" si="6"/>
        <v>181.5</v>
      </c>
      <c r="G72" s="18">
        <f>E72-D72</f>
        <v>250426.87299999991</v>
      </c>
      <c r="H72" s="18">
        <v>508940</v>
      </c>
      <c r="I72" s="34">
        <f t="shared" si="7"/>
        <v>109.6</v>
      </c>
      <c r="J72" t="s">
        <v>103</v>
      </c>
      <c r="M72" s="11">
        <f>D72-D73</f>
        <v>122069.15800000008</v>
      </c>
    </row>
    <row r="73" spans="1:13" ht="15.75">
      <c r="A73" s="34" t="s">
        <v>107</v>
      </c>
      <c r="B73" s="227" t="s">
        <v>113</v>
      </c>
      <c r="C73" s="18" t="s">
        <v>37</v>
      </c>
      <c r="D73" s="26">
        <f>D74+D75+D76</f>
        <v>185283.405</v>
      </c>
      <c r="E73" s="6">
        <f>E74+E75+E76</f>
        <v>309098.435</v>
      </c>
      <c r="F73" s="6">
        <f t="shared" si="6"/>
        <v>166.8</v>
      </c>
      <c r="G73" s="6">
        <f t="shared" ref="G73:G96" si="8">E73-D73</f>
        <v>123815.03</v>
      </c>
      <c r="H73" s="18">
        <v>293618.34699999995</v>
      </c>
      <c r="I73" s="6">
        <f t="shared" si="7"/>
        <v>105.3</v>
      </c>
      <c r="J73" t="s">
        <v>103</v>
      </c>
      <c r="M73" s="11">
        <f>M72+D77</f>
        <v>122069.15800000008</v>
      </c>
    </row>
    <row r="74" spans="1:13" ht="15.75">
      <c r="A74" s="34"/>
      <c r="B74" s="228" t="s">
        <v>114</v>
      </c>
      <c r="C74" s="18" t="s">
        <v>37</v>
      </c>
      <c r="D74" s="28">
        <v>6696.5240000000003</v>
      </c>
      <c r="E74" s="34">
        <v>11814.968999999999</v>
      </c>
      <c r="F74" s="34">
        <f t="shared" si="6"/>
        <v>176.4</v>
      </c>
      <c r="G74" s="18">
        <f t="shared" si="8"/>
        <v>5118.4449999999988</v>
      </c>
      <c r="H74" s="18">
        <v>11346.853999999999</v>
      </c>
      <c r="I74" s="34">
        <f t="shared" si="7"/>
        <v>104.1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64157.940999999999</v>
      </c>
      <c r="E75" s="34">
        <v>65146.998</v>
      </c>
      <c r="F75" s="18">
        <f t="shared" si="6"/>
        <v>101.5</v>
      </c>
      <c r="G75" s="18">
        <f t="shared" si="8"/>
        <v>989.0570000000007</v>
      </c>
      <c r="H75" s="18">
        <v>57456</v>
      </c>
      <c r="I75" s="18">
        <f t="shared" si="7"/>
        <v>113.4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114428.94</v>
      </c>
      <c r="E76" s="34">
        <v>232136.46799999999</v>
      </c>
      <c r="F76" s="18">
        <f t="shared" si="6"/>
        <v>202.9</v>
      </c>
      <c r="G76" s="18">
        <f t="shared" si="8"/>
        <v>117707.52799999999</v>
      </c>
      <c r="H76" s="18">
        <v>224815.49299999999</v>
      </c>
      <c r="I76" s="18">
        <f t="shared" si="7"/>
        <v>103.3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34">
        <v>23626.213</v>
      </c>
      <c r="F77" s="18"/>
      <c r="G77" s="18">
        <f t="shared" si="8"/>
        <v>23626.213</v>
      </c>
      <c r="H77" s="18">
        <v>19644.62</v>
      </c>
      <c r="I77" s="18">
        <f t="shared" si="7"/>
        <v>120.3</v>
      </c>
      <c r="J77" t="s">
        <v>103</v>
      </c>
    </row>
    <row r="78" spans="1:13" ht="15.75">
      <c r="A78" s="34"/>
      <c r="B78" s="220" t="s">
        <v>277</v>
      </c>
      <c r="C78" s="18" t="s">
        <v>37</v>
      </c>
      <c r="D78" s="28"/>
      <c r="E78" s="34">
        <v>0</v>
      </c>
      <c r="F78" s="18"/>
      <c r="G78" s="18">
        <f t="shared" si="8"/>
        <v>0</v>
      </c>
      <c r="H78" s="18">
        <v>52138.917999999998</v>
      </c>
      <c r="I78" s="18">
        <f t="shared" si="7"/>
        <v>0</v>
      </c>
      <c r="J78" t="s">
        <v>103</v>
      </c>
    </row>
    <row r="79" spans="1:13" ht="15.75">
      <c r="A79" s="34"/>
      <c r="B79" s="220" t="s">
        <v>118</v>
      </c>
      <c r="C79" s="18" t="s">
        <v>37</v>
      </c>
      <c r="D79" s="28">
        <v>120912.633</v>
      </c>
      <c r="E79" s="34">
        <v>208357.27600000001</v>
      </c>
      <c r="F79" s="18">
        <f t="shared" si="6"/>
        <v>172.3</v>
      </c>
      <c r="G79" s="18">
        <f t="shared" si="8"/>
        <v>87444.643000000011</v>
      </c>
      <c r="H79" s="18">
        <v>220917</v>
      </c>
      <c r="I79" s="18">
        <f t="shared" si="7"/>
        <v>94.3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6"/>
        <v>#DIV/0!</v>
      </c>
      <c r="G80" s="18">
        <f t="shared" si="8"/>
        <v>0</v>
      </c>
      <c r="H80" s="18">
        <v>0</v>
      </c>
      <c r="I80" s="18" t="e">
        <f t="shared" si="7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6"/>
        <v>#DIV/0!</v>
      </c>
      <c r="G81" s="18">
        <f t="shared" si="8"/>
        <v>0</v>
      </c>
      <c r="H81" s="18">
        <v>0</v>
      </c>
      <c r="I81" s="18" t="e">
        <f t="shared" si="7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6"/>
        <v>#DIV/0!</v>
      </c>
      <c r="G82" s="18">
        <f t="shared" si="8"/>
        <v>0</v>
      </c>
      <c r="H82" s="18">
        <v>0</v>
      </c>
      <c r="I82" s="18" t="e">
        <f t="shared" si="7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6"/>
        <v>#DIV/0!</v>
      </c>
      <c r="G83" s="18">
        <f t="shared" si="8"/>
        <v>0</v>
      </c>
      <c r="H83" s="18">
        <v>0</v>
      </c>
      <c r="I83" s="18" t="e">
        <f t="shared" si="7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6"/>
        <v>#DIV/0!</v>
      </c>
      <c r="G84" s="18">
        <f t="shared" si="8"/>
        <v>0</v>
      </c>
      <c r="H84" s="18">
        <v>0</v>
      </c>
      <c r="I84" s="18" t="e">
        <f t="shared" si="7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6"/>
        <v>#DIV/0!</v>
      </c>
      <c r="G85" s="18">
        <f t="shared" si="8"/>
        <v>0</v>
      </c>
      <c r="H85" s="18">
        <v>0</v>
      </c>
      <c r="I85" s="18" t="e">
        <f t="shared" si="7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6"/>
        <v>#DIV/0!</v>
      </c>
      <c r="G86" s="18">
        <f t="shared" si="8"/>
        <v>0</v>
      </c>
      <c r="H86" s="18">
        <v>0</v>
      </c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6"/>
        <v>#DIV/0!</v>
      </c>
      <c r="G87" s="18">
        <f t="shared" si="8"/>
        <v>0</v>
      </c>
      <c r="H87" s="18">
        <v>0</v>
      </c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6"/>
        <v>#DIV/0!</v>
      </c>
      <c r="G88" s="18">
        <f t="shared" si="8"/>
        <v>0</v>
      </c>
      <c r="H88" s="18">
        <v>0</v>
      </c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D72-D73+D77-D79</f>
        <v>1156.5250000000815</v>
      </c>
      <c r="E89" s="26">
        <f>E72-E73+E77+E78-E79</f>
        <v>63949.937999999966</v>
      </c>
      <c r="F89" s="6">
        <f t="shared" si="6"/>
        <v>5529.5</v>
      </c>
      <c r="G89" s="6">
        <f t="shared" si="8"/>
        <v>62793.412999999884</v>
      </c>
      <c r="H89" s="18">
        <v>66188.19100000005</v>
      </c>
      <c r="I89" s="6">
        <f t="shared" ref="I89:I96" si="9">ROUND(E89/H89*100,1)</f>
        <v>96.6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 t="s">
        <v>73</v>
      </c>
      <c r="E90" s="195"/>
      <c r="F90" s="195">
        <v>0</v>
      </c>
      <c r="G90" s="195">
        <v>0</v>
      </c>
      <c r="H90" s="18"/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8"/>
        <v>-15.822778173897415</v>
      </c>
      <c r="H91" s="18">
        <v>0</v>
      </c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1156.5250000000815</v>
      </c>
      <c r="E92" s="34">
        <f>E89</f>
        <v>63949.937999999966</v>
      </c>
      <c r="F92" s="18">
        <f t="shared" si="6"/>
        <v>5529.5</v>
      </c>
      <c r="G92" s="18">
        <f t="shared" si="8"/>
        <v>62793.412999999884</v>
      </c>
      <c r="H92" s="18">
        <v>66188.19100000005</v>
      </c>
      <c r="I92" s="18">
        <f t="shared" si="9"/>
        <v>96.6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v>173.47900000000001</v>
      </c>
      <c r="E93" s="195">
        <v>9850.5290000000005</v>
      </c>
      <c r="F93" s="195">
        <v>0</v>
      </c>
      <c r="G93" s="195">
        <v>0</v>
      </c>
      <c r="H93" s="18">
        <v>10719.315000000001</v>
      </c>
      <c r="I93" s="195">
        <v>0</v>
      </c>
      <c r="J93" t="s">
        <v>103</v>
      </c>
    </row>
    <row r="94" spans="1:10" ht="15.75">
      <c r="A94" s="34"/>
      <c r="B94" s="220" t="s">
        <v>279</v>
      </c>
      <c r="C94" s="18" t="s">
        <v>37</v>
      </c>
      <c r="D94" s="33">
        <v>0</v>
      </c>
      <c r="E94" s="34">
        <v>44.374000000000002</v>
      </c>
      <c r="F94" s="18"/>
      <c r="G94" s="18">
        <f t="shared" si="8"/>
        <v>44.374000000000002</v>
      </c>
      <c r="H94" s="18">
        <v>0</v>
      </c>
      <c r="I94" s="18"/>
      <c r="J94" t="s">
        <v>103</v>
      </c>
    </row>
    <row r="95" spans="1:10" ht="15.75" hidden="1" outlineLevel="1">
      <c r="A95" s="34"/>
      <c r="B95" s="220" t="s">
        <v>131</v>
      </c>
      <c r="C95" s="18" t="s">
        <v>37</v>
      </c>
      <c r="D95" s="33"/>
      <c r="E95" s="34"/>
      <c r="F95" s="18" t="e">
        <f t="shared" si="6"/>
        <v>#DIV/0!</v>
      </c>
      <c r="G95" s="18">
        <f t="shared" si="8"/>
        <v>0</v>
      </c>
      <c r="H95" s="18">
        <v>0</v>
      </c>
      <c r="I95" s="18" t="e">
        <f t="shared" si="9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983.04600000008145</v>
      </c>
      <c r="E96" s="34">
        <f>E92-E93-E94</f>
        <v>54055.03499999996</v>
      </c>
      <c r="F96" s="18">
        <f t="shared" si="6"/>
        <v>5498.7</v>
      </c>
      <c r="G96" s="18">
        <f t="shared" si="8"/>
        <v>53071.988999999878</v>
      </c>
      <c r="H96" s="18">
        <v>55468.876000000047</v>
      </c>
      <c r="I96" s="18">
        <f t="shared" si="9"/>
        <v>97.5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>
        <f>'[13]9МЕС БЕЗ СПЕЦ.НАДБ.'!H97</f>
        <v>0</v>
      </c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>
        <f>'[13]9МЕС БЕЗ СПЕЦ.НАДБ.'!H98</f>
        <v>0</v>
      </c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>
        <f>'[13]9МЕС БЕЗ СПЕЦ.НАДБ.'!H99</f>
        <v>0</v>
      </c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>
        <f>'[13]9МЕС БЕЗ СПЕЦ.НАДБ.'!H100</f>
        <v>0</v>
      </c>
      <c r="I100" s="70"/>
    </row>
    <row r="101" spans="1:12" ht="15.75" collapsed="1">
      <c r="A101" s="34" t="s">
        <v>109</v>
      </c>
      <c r="B101" s="227" t="s">
        <v>137</v>
      </c>
      <c r="C101" s="18"/>
      <c r="D101" s="34"/>
      <c r="E101" s="34"/>
      <c r="F101" s="18"/>
      <c r="G101" s="18"/>
      <c r="H101" s="34">
        <f>'[13]9МЕС БЕЗ СПЕЦ.НАДБ.'!H101</f>
        <v>0</v>
      </c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137800.079</v>
      </c>
      <c r="E102" s="6">
        <f>E103+E106</f>
        <v>98533.93299999999</v>
      </c>
      <c r="F102" s="6">
        <f>ROUND(E102/D102*100,1)</f>
        <v>71.5</v>
      </c>
      <c r="G102" s="6">
        <f>E102-D102</f>
        <v>-39266.146000000008</v>
      </c>
      <c r="H102" s="18">
        <v>229924.55</v>
      </c>
      <c r="I102" s="6">
        <f>ROUND(E102/H102*100,1)</f>
        <v>42.9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173.47900000000001</v>
      </c>
      <c r="E103" s="195">
        <f>E93</f>
        <v>9850.5290000000005</v>
      </c>
      <c r="F103" s="195">
        <v>0</v>
      </c>
      <c r="G103" s="195">
        <v>0</v>
      </c>
      <c r="H103" s="18">
        <v>10719.315000000001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18">
        <v>0</v>
      </c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0">E105-D105</f>
        <v>0</v>
      </c>
      <c r="H105" s="18">
        <v>0</v>
      </c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>
        <v>137626.6</v>
      </c>
      <c r="E106" s="18">
        <v>88683.403999999995</v>
      </c>
      <c r="F106" s="18">
        <f>ROUND(E106/D106*100,1)</f>
        <v>64.400000000000006</v>
      </c>
      <c r="G106" s="34">
        <f t="shared" si="10"/>
        <v>-48943.196000000011</v>
      </c>
      <c r="H106" s="18">
        <v>116263</v>
      </c>
      <c r="I106" s="18">
        <f>ROUND(E106/H106*100,1)</f>
        <v>76.3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68524.823000000004</v>
      </c>
      <c r="E107" s="6">
        <f>SUM(E108:E112)</f>
        <v>71639.396999999997</v>
      </c>
      <c r="F107" s="6">
        <f>ROUND(E107/D107*100,1)</f>
        <v>104.5</v>
      </c>
      <c r="G107" s="6">
        <f t="shared" si="10"/>
        <v>3114.5739999999932</v>
      </c>
      <c r="H107" s="6">
        <v>59976.436000000002</v>
      </c>
      <c r="I107" s="6">
        <f>IF(H107&gt;0,ROUND(E107/H107*100,1),0)</f>
        <v>119.4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/>
      <c r="F108" s="6"/>
      <c r="G108" s="18">
        <f t="shared" si="10"/>
        <v>0</v>
      </c>
      <c r="H108" s="18">
        <v>115.926</v>
      </c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3021.2359999999999</v>
      </c>
      <c r="E109" s="34">
        <v>3816.3029999999999</v>
      </c>
      <c r="F109" s="18">
        <f>ROUND(E109/D109*100,1)</f>
        <v>126.3</v>
      </c>
      <c r="G109" s="18">
        <f t="shared" si="10"/>
        <v>795.06700000000001</v>
      </c>
      <c r="H109" s="18">
        <v>3374</v>
      </c>
      <c r="I109" s="34">
        <f>ROUND(E109/H109*100,1)</f>
        <v>113.1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1009.343</v>
      </c>
      <c r="E110" s="34">
        <v>1145.08</v>
      </c>
      <c r="F110" s="18">
        <f>ROUND(E110/D110*100,1)</f>
        <v>113.4</v>
      </c>
      <c r="G110" s="18">
        <f t="shared" si="10"/>
        <v>135.73699999999997</v>
      </c>
      <c r="H110" s="18">
        <v>913</v>
      </c>
      <c r="I110" s="34">
        <f>ROUND(E110/H110*100,1)</f>
        <v>125.4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15577.38</v>
      </c>
      <c r="E111" s="34">
        <v>15577.566999999999</v>
      </c>
      <c r="F111" s="18">
        <f>ROUND(E111/D111*100,1)</f>
        <v>100</v>
      </c>
      <c r="G111" s="18">
        <f t="shared" si="10"/>
        <v>0.18699999999989814</v>
      </c>
      <c r="H111" s="18">
        <v>14210.51</v>
      </c>
      <c r="I111" s="34">
        <f>ROUND(E111/H111*100,1)</f>
        <v>109.6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48916.864000000001</v>
      </c>
      <c r="E112" s="34">
        <v>51100.447</v>
      </c>
      <c r="F112" s="18">
        <f>ROUND(E112/D112*100,1)</f>
        <v>104.5</v>
      </c>
      <c r="G112" s="18">
        <f t="shared" si="10"/>
        <v>2183.5829999999987</v>
      </c>
      <c r="H112" s="18">
        <v>41363</v>
      </c>
      <c r="I112" s="34">
        <f>ROUND(E112/H112*100,1)</f>
        <v>123.5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66383.991999999998</v>
      </c>
      <c r="E113" s="6">
        <f>SUM(E115:E120)</f>
        <v>60810.083999999995</v>
      </c>
      <c r="F113" s="6">
        <f>ROUND(E113/D113*100,1)</f>
        <v>91.6</v>
      </c>
      <c r="G113" s="6">
        <f t="shared" si="10"/>
        <v>-5573.9080000000031</v>
      </c>
      <c r="H113" s="18">
        <v>42965.798999999999</v>
      </c>
      <c r="I113" s="6">
        <f>ROUND(E113/H113*100,1)</f>
        <v>141.5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18">
        <v>0</v>
      </c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0" si="11">E115-D115</f>
        <v>0</v>
      </c>
      <c r="H115" s="18">
        <v>0</v>
      </c>
      <c r="I115" s="18" t="e">
        <f t="shared" ref="I115:I121" si="12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1"/>
        <v>0</v>
      </c>
      <c r="H116" s="18">
        <v>0</v>
      </c>
      <c r="I116" s="18" t="e">
        <f t="shared" si="12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f>D61*12%</f>
        <v>37559.891999999993</v>
      </c>
      <c r="E117" s="91">
        <v>52195.093999999997</v>
      </c>
      <c r="F117" s="18">
        <f>ROUND(E117/D117*100,1)</f>
        <v>139</v>
      </c>
      <c r="G117" s="18">
        <f t="shared" si="11"/>
        <v>14635.202000000005</v>
      </c>
      <c r="H117" s="18">
        <v>35902.290999999997</v>
      </c>
      <c r="I117" s="18">
        <f t="shared" si="12"/>
        <v>145.4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f>2834.211+949.961</f>
        <v>3784.1719999999996</v>
      </c>
      <c r="E118" s="261">
        <f>7265.498+1349.492</f>
        <v>8614.99</v>
      </c>
      <c r="F118" s="18">
        <f>ROUND(E118/D118*100,1)</f>
        <v>227.7</v>
      </c>
      <c r="G118" s="35">
        <f t="shared" si="11"/>
        <v>4830.8180000000002</v>
      </c>
      <c r="H118" s="18">
        <v>7063.5079999999998</v>
      </c>
      <c r="I118" s="18">
        <f t="shared" si="12"/>
        <v>122</v>
      </c>
      <c r="J118" s="11" t="s">
        <v>139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1"/>
        <v>0</v>
      </c>
      <c r="H119" s="18">
        <v>0</v>
      </c>
      <c r="I119" s="18" t="e">
        <f t="shared" si="12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25039.928</v>
      </c>
      <c r="E120" s="18"/>
      <c r="F120" s="18">
        <f>ROUND(E120/D120*100,1)</f>
        <v>0</v>
      </c>
      <c r="G120" s="18">
        <f t="shared" si="11"/>
        <v>-25039.928</v>
      </c>
      <c r="H120" s="18">
        <v>0</v>
      </c>
      <c r="I120" s="18" t="e">
        <f t="shared" si="12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272708.89399999997</v>
      </c>
      <c r="E121" s="6">
        <f>E102+E113+E107</f>
        <v>230983.41399999999</v>
      </c>
      <c r="F121" s="6">
        <f>ROUND(E121/D121*100,1)</f>
        <v>84.7</v>
      </c>
      <c r="G121" s="6">
        <f>E121-D121</f>
        <v>-41725.479999999981</v>
      </c>
      <c r="H121" s="6">
        <f>H102+H113+H107</f>
        <v>332866.78499999997</v>
      </c>
      <c r="I121" s="6">
        <f t="shared" si="12"/>
        <v>69.400000000000006</v>
      </c>
      <c r="J121" s="11" t="s">
        <v>139</v>
      </c>
    </row>
    <row r="122" spans="1:13" ht="15.75">
      <c r="A122" s="34" t="s">
        <v>111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18">
        <v>0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 t="s">
        <v>73</v>
      </c>
      <c r="I124" s="18"/>
    </row>
    <row r="125" spans="1:13" ht="24" customHeight="1" collapsed="1">
      <c r="A125" s="34" t="s">
        <v>278</v>
      </c>
      <c r="B125" s="227" t="s">
        <v>162</v>
      </c>
      <c r="C125" s="18" t="s">
        <v>37</v>
      </c>
      <c r="D125" s="6">
        <f>SUM(D127:D130)</f>
        <v>1158466.723</v>
      </c>
      <c r="E125" s="142">
        <f>SUM(E127:E130)</f>
        <v>876163.88399999996</v>
      </c>
      <c r="F125" s="6">
        <f t="shared" ref="F125:F130" si="13">ROUND(E125/D125*100,1)</f>
        <v>75.599999999999994</v>
      </c>
      <c r="G125" s="6">
        <f t="shared" ref="G125:G151" si="14">E125-D125</f>
        <v>-282302.83900000004</v>
      </c>
      <c r="H125" s="6">
        <v>698262.04</v>
      </c>
      <c r="I125" s="6">
        <f>ROUND(E125/H125*100,1)</f>
        <v>125.5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4"/>
        <v>0</v>
      </c>
      <c r="H126" s="18">
        <v>0</v>
      </c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726587.58400000003</v>
      </c>
      <c r="E127" s="18">
        <v>439642.283</v>
      </c>
      <c r="F127" s="18">
        <f t="shared" si="13"/>
        <v>60.5</v>
      </c>
      <c r="G127" s="18">
        <f t="shared" si="14"/>
        <v>-286945.30100000004</v>
      </c>
      <c r="H127" s="18">
        <v>306039.12300000002</v>
      </c>
      <c r="I127" s="18">
        <f>ROUND(E127/H127*100,1)</f>
        <v>143.69999999999999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f>237449.435+28493.929</f>
        <v>265943.364</v>
      </c>
      <c r="E128" s="18">
        <f>235867.173+28299.505</f>
        <v>264166.67800000001</v>
      </c>
      <c r="F128" s="18">
        <f t="shared" si="13"/>
        <v>99.3</v>
      </c>
      <c r="G128" s="18">
        <f t="shared" si="14"/>
        <v>-1776.685999999987</v>
      </c>
      <c r="H128" s="18">
        <v>224788.51700000002</v>
      </c>
      <c r="I128" s="18">
        <f>ROUND(E128/H128*100,1)</f>
        <v>117.5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136905.34899999999</v>
      </c>
      <c r="E129" s="18">
        <v>136327.929</v>
      </c>
      <c r="F129" s="18">
        <f t="shared" si="13"/>
        <v>99.6</v>
      </c>
      <c r="G129" s="18">
        <f t="shared" si="14"/>
        <v>-577.4199999999837</v>
      </c>
      <c r="H129" s="18">
        <v>136492.14499999999</v>
      </c>
      <c r="I129" s="18">
        <f>ROUND(E129/H129*100,1)</f>
        <v>99.9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29030.425999999999</v>
      </c>
      <c r="E130" s="18">
        <f>36026.994</f>
        <v>36026.993999999999</v>
      </c>
      <c r="F130" s="18">
        <f t="shared" si="13"/>
        <v>124.1</v>
      </c>
      <c r="G130" s="18">
        <f t="shared" si="14"/>
        <v>6996.5679999999993</v>
      </c>
      <c r="H130" s="18">
        <v>30942.255000000001</v>
      </c>
      <c r="I130" s="18">
        <f>ROUND(E130/H130*100,1)</f>
        <v>116.4</v>
      </c>
      <c r="J130" s="11" t="s">
        <v>139</v>
      </c>
    </row>
    <row r="131" spans="1:13" ht="23.25" customHeight="1">
      <c r="A131" s="18" t="s">
        <v>136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18"/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4"/>
        <v>0</v>
      </c>
      <c r="H132" s="18">
        <v>0</v>
      </c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18">
        <v>1533349.588</v>
      </c>
      <c r="F133" s="18"/>
      <c r="G133" s="18">
        <f t="shared" si="14"/>
        <v>1533349.588</v>
      </c>
      <c r="H133" s="18">
        <v>924154</v>
      </c>
      <c r="I133" s="18">
        <f>IF(H133&gt;0,ROUND(E133/H133*100,1),0)</f>
        <v>165.9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4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804125.076</v>
      </c>
      <c r="F135" s="18"/>
      <c r="G135" s="18">
        <f t="shared" si="14"/>
        <v>804125.076</v>
      </c>
      <c r="H135" s="18">
        <v>923559</v>
      </c>
      <c r="I135" s="18">
        <f t="shared" ref="I135:I144" si="15">IF(H135&gt;0,ROUND(E135/H135*100,1),0)</f>
        <v>87.1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67.058999999999997</v>
      </c>
      <c r="F136" s="18"/>
      <c r="G136" s="18">
        <f t="shared" si="14"/>
        <v>67.058999999999997</v>
      </c>
      <c r="H136" s="18">
        <v>595</v>
      </c>
      <c r="I136" s="18">
        <f t="shared" si="15"/>
        <v>11.3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f>E139+E140+E144</f>
        <v>244179.08299999998</v>
      </c>
      <c r="F137" s="18"/>
      <c r="G137" s="18">
        <f t="shared" si="14"/>
        <v>244179.08299999998</v>
      </c>
      <c r="H137" s="18">
        <v>0</v>
      </c>
      <c r="I137" s="18">
        <f t="shared" si="15"/>
        <v>0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4"/>
        <v>0</v>
      </c>
      <c r="H138" s="18">
        <v>0</v>
      </c>
      <c r="I138" s="18">
        <f t="shared" si="15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f>E141+E143+E142</f>
        <v>242644.27499999999</v>
      </c>
      <c r="F139" s="18"/>
      <c r="G139" s="81">
        <f t="shared" si="14"/>
        <v>242644.27499999999</v>
      </c>
      <c r="H139" s="18">
        <v>143757.57999999999</v>
      </c>
      <c r="I139" s="18">
        <f t="shared" si="15"/>
        <v>168.8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4"/>
        <v>0</v>
      </c>
      <c r="H140" s="18"/>
      <c r="I140" s="18">
        <f t="shared" si="15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119448.99400000001</v>
      </c>
      <c r="F141" s="18"/>
      <c r="G141" s="18">
        <f t="shared" si="14"/>
        <v>119448.99400000001</v>
      </c>
      <c r="H141" s="18">
        <v>102078.277</v>
      </c>
      <c r="I141" s="18">
        <f t="shared" si="15"/>
        <v>117</v>
      </c>
      <c r="K141" t="s">
        <v>170</v>
      </c>
      <c r="L141" t="s">
        <v>170</v>
      </c>
      <c r="M141" t="s">
        <v>182</v>
      </c>
    </row>
    <row r="142" spans="1:13" ht="20.25" customHeight="1">
      <c r="A142" s="34" t="s">
        <v>280</v>
      </c>
      <c r="B142" s="228" t="s">
        <v>281</v>
      </c>
      <c r="C142" s="18" t="s">
        <v>37</v>
      </c>
      <c r="D142" s="18"/>
      <c r="E142" s="18">
        <v>10149.686</v>
      </c>
      <c r="F142" s="18"/>
      <c r="G142" s="18"/>
      <c r="H142" s="18"/>
      <c r="I142" s="18"/>
    </row>
    <row r="143" spans="1:13" ht="15.75">
      <c r="A143" s="34"/>
      <c r="B143" s="228" t="s">
        <v>183</v>
      </c>
      <c r="C143" s="18" t="s">
        <v>37</v>
      </c>
      <c r="D143" s="18"/>
      <c r="E143" s="18">
        <v>113045.595</v>
      </c>
      <c r="F143" s="18"/>
      <c r="G143" s="18">
        <f t="shared" si="14"/>
        <v>113045.595</v>
      </c>
      <c r="H143" s="18">
        <v>35389.4</v>
      </c>
      <c r="I143" s="18">
        <f t="shared" si="15"/>
        <v>319.39999999999998</v>
      </c>
      <c r="K143" t="s">
        <v>170</v>
      </c>
      <c r="L143" t="s">
        <v>170</v>
      </c>
      <c r="M143" t="s">
        <v>184</v>
      </c>
    </row>
    <row r="144" spans="1:13" ht="15.75">
      <c r="A144" s="34"/>
      <c r="B144" s="237" t="s">
        <v>185</v>
      </c>
      <c r="C144" s="18" t="s">
        <v>37</v>
      </c>
      <c r="D144" s="18"/>
      <c r="E144" s="18">
        <v>1534.808</v>
      </c>
      <c r="F144" s="18"/>
      <c r="G144" s="18">
        <f>E144-D144</f>
        <v>1534.808</v>
      </c>
      <c r="H144" s="18">
        <v>7539.1239999999998</v>
      </c>
      <c r="I144" s="18">
        <f t="shared" si="15"/>
        <v>20.399999999999999</v>
      </c>
      <c r="K144" t="s">
        <v>170</v>
      </c>
      <c r="L144" t="s">
        <v>170</v>
      </c>
      <c r="M144" t="s">
        <v>186</v>
      </c>
    </row>
    <row r="145" spans="1:12" ht="18" customHeight="1">
      <c r="A145" s="34"/>
      <c r="B145" s="34" t="s">
        <v>163</v>
      </c>
      <c r="C145" s="18" t="s">
        <v>37</v>
      </c>
      <c r="D145" s="18"/>
      <c r="E145" s="18"/>
      <c r="F145" s="18"/>
      <c r="G145" s="18">
        <f t="shared" si="14"/>
        <v>0</v>
      </c>
      <c r="H145" s="18">
        <v>0</v>
      </c>
      <c r="I145" s="18"/>
      <c r="K145" t="s">
        <v>170</v>
      </c>
      <c r="L145" t="s">
        <v>170</v>
      </c>
    </row>
    <row r="146" spans="1:12" ht="15.75">
      <c r="A146" s="34"/>
      <c r="B146" s="224" t="s">
        <v>187</v>
      </c>
      <c r="C146" s="18" t="s">
        <v>37</v>
      </c>
      <c r="D146" s="18"/>
      <c r="E146" s="18">
        <v>1489.5889999999999</v>
      </c>
      <c r="F146" s="18"/>
      <c r="G146" s="18">
        <f t="shared" si="14"/>
        <v>1489.5889999999999</v>
      </c>
      <c r="H146" s="18">
        <v>0</v>
      </c>
      <c r="I146" s="18">
        <f>IF(H146&gt;0,ROUND(E146/H146*100,1),0)</f>
        <v>0</v>
      </c>
      <c r="K146" t="s">
        <v>170</v>
      </c>
    </row>
    <row r="147" spans="1:12" ht="18.75" hidden="1" customHeight="1" outlineLevel="1">
      <c r="A147" s="34" t="s">
        <v>188</v>
      </c>
      <c r="B147" s="220" t="s">
        <v>189</v>
      </c>
      <c r="C147" s="18" t="s">
        <v>37</v>
      </c>
      <c r="D147" s="35"/>
      <c r="E147" s="18"/>
      <c r="F147" s="18"/>
      <c r="G147" s="18">
        <f t="shared" si="14"/>
        <v>0</v>
      </c>
      <c r="H147" s="18">
        <v>0</v>
      </c>
      <c r="I147" s="18">
        <f>IF(H147&gt;0,ROUND(D147/H147*100,1),0)</f>
        <v>0</v>
      </c>
      <c r="K147" t="s">
        <v>170</v>
      </c>
    </row>
    <row r="148" spans="1:12" ht="15.75" collapsed="1">
      <c r="A148" s="34" t="s">
        <v>157</v>
      </c>
      <c r="B148" s="220" t="s">
        <v>190</v>
      </c>
      <c r="C148" s="258" t="s">
        <v>37</v>
      </c>
      <c r="D148" s="39"/>
      <c r="E148" s="259">
        <v>408467.37</v>
      </c>
      <c r="F148" s="18"/>
      <c r="G148" s="18"/>
      <c r="H148" s="18">
        <v>429749.08500000002</v>
      </c>
      <c r="I148" s="18">
        <f>ROUND(E148/H148*100,1)</f>
        <v>95</v>
      </c>
      <c r="K148" t="s">
        <v>170</v>
      </c>
      <c r="L148" t="s">
        <v>191</v>
      </c>
    </row>
    <row r="149" spans="1:12" ht="15.75" hidden="1" customHeight="1" outlineLevel="1">
      <c r="A149" s="34"/>
      <c r="B149" s="34" t="s">
        <v>12</v>
      </c>
      <c r="C149" s="258" t="s">
        <v>37</v>
      </c>
      <c r="D149" s="39"/>
      <c r="E149" s="259"/>
      <c r="F149" s="18"/>
      <c r="G149" s="18">
        <f t="shared" si="14"/>
        <v>0</v>
      </c>
      <c r="H149" s="18">
        <v>0</v>
      </c>
      <c r="I149" s="18"/>
      <c r="K149" t="s">
        <v>170</v>
      </c>
    </row>
    <row r="150" spans="1:12" ht="15.75" hidden="1" outlineLevel="1">
      <c r="A150" s="34"/>
      <c r="B150" s="220" t="s">
        <v>192</v>
      </c>
      <c r="C150" s="258" t="s">
        <v>37</v>
      </c>
      <c r="D150" s="18"/>
      <c r="E150" s="259"/>
      <c r="F150" s="18"/>
      <c r="G150" s="18">
        <f t="shared" si="14"/>
        <v>0</v>
      </c>
      <c r="H150" s="18">
        <v>0</v>
      </c>
      <c r="I150" s="18"/>
      <c r="K150" t="s">
        <v>170</v>
      </c>
    </row>
    <row r="151" spans="1:12" ht="15.75" hidden="1" outlineLevel="1">
      <c r="A151" s="34"/>
      <c r="B151" s="220" t="s">
        <v>193</v>
      </c>
      <c r="C151" s="258" t="s">
        <v>37</v>
      </c>
      <c r="D151" s="18"/>
      <c r="E151" s="259"/>
      <c r="F151" s="18"/>
      <c r="G151" s="18">
        <f t="shared" si="14"/>
        <v>0</v>
      </c>
      <c r="H151" s="18">
        <v>0</v>
      </c>
      <c r="I151" s="18" t="e">
        <f>ROUND(E151/H151*100,1)</f>
        <v>#DIV/0!</v>
      </c>
      <c r="K151" t="s">
        <v>170</v>
      </c>
    </row>
    <row r="152" spans="1:12" ht="15.75" collapsed="1">
      <c r="A152" s="34" t="s">
        <v>161</v>
      </c>
      <c r="B152" s="220" t="s">
        <v>194</v>
      </c>
      <c r="C152" s="258" t="s">
        <v>37</v>
      </c>
      <c r="D152" s="39"/>
      <c r="E152" s="259">
        <v>322300.05800000002</v>
      </c>
      <c r="F152" s="18"/>
      <c r="G152" s="18"/>
      <c r="H152" s="18">
        <v>270308.46600000001</v>
      </c>
      <c r="I152" s="18">
        <f>ROUND(E152/H152*100,1)</f>
        <v>119.2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260"/>
      <c r="E153" s="34">
        <f>'[13]1-полугод 2023 г. без.сп.над '!E152</f>
        <v>0</v>
      </c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34">
        <f>'[13]1-полугод 2023 г. без.сп.над '!E153</f>
        <v>0</v>
      </c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34">
        <f>'[13]1-полугод 2023 г. без.сп.над '!E154</f>
        <v>0</v>
      </c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34">
        <f>'[13]1-полугод 2023 г. без.сп.над '!E155</f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34">
        <f>'[13]1-полугод 2023 г. без.сп.над '!E156</f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34">
        <f>'[13]1-полугод 2023 г. без.сп.над '!E157</f>
        <v>0</v>
      </c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34">
        <f>'[13]1-полугод 2023 г. без.сп.над '!E158</f>
        <v>0</v>
      </c>
      <c r="F159" s="40"/>
      <c r="G159" s="40"/>
      <c r="H159" s="41"/>
      <c r="I159" s="40" t="e">
        <f>ROUND(E159/H159*100,1)</f>
        <v>#DIV/0!</v>
      </c>
    </row>
    <row r="160" spans="1:12" ht="48.75" customHeight="1" collapsed="1">
      <c r="H160" s="44"/>
    </row>
    <row r="161" spans="1:9" ht="18.75" hidden="1">
      <c r="A161" s="32"/>
      <c r="B161" s="45" t="s">
        <v>205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 hidden="1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 hidden="1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 hidden="1" outlineLevel="1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 hidden="1" outlineLevel="1">
      <c r="A165" s="32"/>
      <c r="B165" s="46" t="s">
        <v>206</v>
      </c>
      <c r="C165" s="46"/>
      <c r="D165" s="46"/>
      <c r="E165" s="46"/>
      <c r="F165" s="48"/>
      <c r="G165" s="46" t="str">
        <f>'[2]2019'!$G$164</f>
        <v>Бегматов  Ш.Т.</v>
      </c>
      <c r="H165" s="46"/>
      <c r="I165" s="48"/>
    </row>
    <row r="166" spans="1:9" ht="18.75" hidden="1" collapsed="1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 hidden="1">
      <c r="A167" s="32"/>
      <c r="B167" s="46" t="str">
        <f>'[3]2019'!B168</f>
        <v>Начальник ОЭАиП</v>
      </c>
      <c r="C167" s="46"/>
      <c r="D167" s="46"/>
      <c r="E167" s="46"/>
      <c r="F167" s="48"/>
      <c r="G167" s="46" t="s">
        <v>251</v>
      </c>
      <c r="H167" s="46"/>
      <c r="I167" s="48"/>
    </row>
    <row r="168" spans="1:9" ht="15.75" hidden="1">
      <c r="B168" s="49"/>
      <c r="C168" s="49"/>
      <c r="D168" s="49"/>
      <c r="E168" s="49"/>
      <c r="G168" s="49"/>
    </row>
    <row r="169" spans="1:9" ht="15.75" hidden="1">
      <c r="B169" s="49"/>
      <c r="C169" s="49"/>
      <c r="D169" s="49"/>
      <c r="E169" s="49"/>
      <c r="G169" s="49"/>
    </row>
    <row r="170" spans="1:9" ht="15.75" hidden="1">
      <c r="B170" s="207" t="s">
        <v>243</v>
      </c>
      <c r="C170" s="49"/>
      <c r="D170" s="49"/>
      <c r="E170" s="49"/>
      <c r="G170" s="49"/>
    </row>
    <row r="171" spans="1:9" ht="15.75">
      <c r="B171" s="49"/>
      <c r="C171" s="49"/>
      <c r="D171" s="49"/>
      <c r="E171" s="49"/>
      <c r="G171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" top="0.51181102362204722" bottom="0.15748031496062992" header="0.15748031496062992" footer="0.11811023622047245"/>
  <pageSetup paperSize="9" scale="64" orientation="portrait" blackAndWhite="1" r:id="rId1"/>
  <headerFooter alignWithMargins="0"/>
  <rowBreaks count="1" manualBreakCount="1">
    <brk id="96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71"/>
  <sheetViews>
    <sheetView showZeros="0" view="pageBreakPreview" topLeftCell="B1" zoomScale="90" zoomScaleNormal="100" zoomScaleSheetLayoutView="90" workbookViewId="0">
      <pane ySplit="3" topLeftCell="A136" activePane="bottomLeft" state="frozen"/>
      <selection activeCell="K11" sqref="K11"/>
      <selection pane="bottomLeft" activeCell="G152" sqref="G152"/>
    </sheetView>
  </sheetViews>
  <sheetFormatPr defaultRowHeight="12.75" outlineLevelRow="1" outlineLevelCol="1"/>
  <cols>
    <col min="1" max="1" width="6.140625" bestFit="1" customWidth="1"/>
    <col min="2" max="2" width="56.140625" customWidth="1"/>
    <col min="3" max="3" width="10" customWidth="1" outlineLevel="1"/>
    <col min="4" max="4" width="11.85546875" customWidth="1" outlineLevel="1"/>
    <col min="5" max="5" width="13.42578125" customWidth="1" outlineLevel="1"/>
    <col min="6" max="6" width="9.7109375" customWidth="1" outlineLevel="1"/>
    <col min="7" max="7" width="12.42578125" customWidth="1" outlineLevel="1"/>
    <col min="8" max="8" width="13.28515625" customWidth="1"/>
    <col min="9" max="9" width="11.140625" customWidth="1"/>
    <col min="10" max="10" width="8.7109375" customWidth="1" outlineLevel="1"/>
    <col min="11" max="11" width="13.28515625" customWidth="1" outlineLevel="1"/>
    <col min="12" max="12" width="12.42578125" customWidth="1" outlineLevel="1"/>
    <col min="13" max="13" width="13.5703125" customWidth="1" outlineLevel="1"/>
    <col min="14" max="14" width="12" customWidth="1" outlineLevel="1"/>
  </cols>
  <sheetData>
    <row r="1" spans="1:10" ht="48" customHeight="1">
      <c r="A1" s="282" t="s">
        <v>274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275</v>
      </c>
      <c r="E2" s="289"/>
      <c r="F2" s="289"/>
      <c r="G2" s="289"/>
      <c r="H2" s="290" t="s">
        <v>276</v>
      </c>
      <c r="I2" s="288" t="s">
        <v>3</v>
      </c>
    </row>
    <row r="3" spans="1:10" ht="29.45" customHeight="1">
      <c r="A3" s="286"/>
      <c r="B3" s="287"/>
      <c r="C3" s="287"/>
      <c r="D3" s="257" t="s">
        <v>4</v>
      </c>
      <c r="E3" s="256" t="s">
        <v>5</v>
      </c>
      <c r="F3" s="256" t="s">
        <v>6</v>
      </c>
      <c r="G3" s="256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55">
        <f>D7+D8+D9</f>
        <v>5800</v>
      </c>
      <c r="E5" s="255">
        <f>E7+E8+E9</f>
        <v>5835.96</v>
      </c>
      <c r="F5" s="255">
        <f>ROUND(E5/D5*100,1)</f>
        <v>100.6</v>
      </c>
      <c r="G5" s="255">
        <f>E5-D5</f>
        <v>35.960000000000036</v>
      </c>
      <c r="H5" s="6">
        <v>5073.8787000000002</v>
      </c>
      <c r="I5" s="6">
        <f>IF(H5&gt;0,ROUND(E5/H5*100,1),0)</f>
        <v>115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>
        <v>0</v>
      </c>
      <c r="I6" s="7"/>
    </row>
    <row r="7" spans="1:10" ht="15.75">
      <c r="A7" s="7"/>
      <c r="B7" s="218" t="s">
        <v>13</v>
      </c>
      <c r="C7" s="7" t="s">
        <v>11</v>
      </c>
      <c r="D7" s="34">
        <v>4742.5</v>
      </c>
      <c r="E7" s="34">
        <v>4947.076</v>
      </c>
      <c r="F7" s="34">
        <f>ROUND(E7/D7*100,1)</f>
        <v>104.3</v>
      </c>
      <c r="G7" s="34">
        <f>E7-D7</f>
        <v>204.57600000000002</v>
      </c>
      <c r="H7" s="34">
        <v>4542.6880000000001</v>
      </c>
      <c r="I7" s="9">
        <f>IF(H7&gt;0,ROUND(E7/H7*100,1),0)</f>
        <v>108.9</v>
      </c>
    </row>
    <row r="8" spans="1:10" ht="15.75">
      <c r="A8" s="7"/>
      <c r="B8" s="218" t="s">
        <v>14</v>
      </c>
      <c r="C8" s="7" t="s">
        <v>11</v>
      </c>
      <c r="D8" s="34">
        <v>57.5</v>
      </c>
      <c r="E8" s="34">
        <v>57.526000000000003</v>
      </c>
      <c r="F8" s="34">
        <f>ROUND(E8/D8*100,1)</f>
        <v>100</v>
      </c>
      <c r="G8" s="34">
        <f>E8-D8</f>
        <v>2.6000000000003354E-2</v>
      </c>
      <c r="H8" s="34">
        <v>62.192999999999998</v>
      </c>
      <c r="I8" s="9">
        <f>IF(H8&gt;0,ROUND(E8/H8*100,1),0)</f>
        <v>92.5</v>
      </c>
    </row>
    <row r="9" spans="1:10" ht="15.75">
      <c r="A9" s="7"/>
      <c r="B9" s="218" t="s">
        <v>15</v>
      </c>
      <c r="C9" s="7" t="s">
        <v>11</v>
      </c>
      <c r="D9" s="34">
        <v>1000</v>
      </c>
      <c r="E9" s="34">
        <v>831.35799999999995</v>
      </c>
      <c r="F9" s="34">
        <f>ROUND(E9/D9*100,1)</f>
        <v>83.1</v>
      </c>
      <c r="G9" s="34">
        <f>E9-D9</f>
        <v>-168.64200000000005</v>
      </c>
      <c r="H9" s="34">
        <v>468.99770000000001</v>
      </c>
      <c r="I9" s="9">
        <f>IF(H9&gt;0,ROUND(E9/H9*100,1),0)</f>
        <v>177.3</v>
      </c>
    </row>
    <row r="10" spans="1:10" ht="15.75">
      <c r="A10" s="7" t="s">
        <v>16</v>
      </c>
      <c r="B10" s="217" t="s">
        <v>17</v>
      </c>
      <c r="C10" s="254" t="s">
        <v>11</v>
      </c>
      <c r="D10" s="6">
        <f>D12+D13</f>
        <v>650</v>
      </c>
      <c r="E10" s="6">
        <f>E12+E13</f>
        <v>866.58699999999999</v>
      </c>
      <c r="F10" s="255">
        <f>ROUND(E10/D10*100,1)</f>
        <v>133.30000000000001</v>
      </c>
      <c r="G10" s="255">
        <f>E10-D10</f>
        <v>216.58699999999999</v>
      </c>
      <c r="H10" s="6">
        <v>815.62099999999998</v>
      </c>
      <c r="I10" s="254">
        <f t="shared" ref="I10:I28" si="0">IF(H10&gt;0,ROUND(E10/H10*100,1),0)</f>
        <v>106.2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>
        <v>0</v>
      </c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250</v>
      </c>
      <c r="E12" s="34">
        <v>325.221</v>
      </c>
      <c r="F12" s="34">
        <f>ROUND(E12/D12*100,1)</f>
        <v>130.1</v>
      </c>
      <c r="G12" s="34">
        <f>E12-D12</f>
        <v>75.221000000000004</v>
      </c>
      <c r="H12" s="34">
        <v>441.96699999999998</v>
      </c>
      <c r="I12" s="9">
        <f t="shared" si="0"/>
        <v>73.599999999999994</v>
      </c>
    </row>
    <row r="13" spans="1:10" ht="15.75">
      <c r="A13" s="7"/>
      <c r="B13" s="218" t="s">
        <v>19</v>
      </c>
      <c r="C13" s="7" t="s">
        <v>11</v>
      </c>
      <c r="D13" s="34">
        <v>400</v>
      </c>
      <c r="E13" s="34">
        <v>541.36599999999999</v>
      </c>
      <c r="F13" s="34">
        <f>ROUND(E13/D13*100,1)</f>
        <v>135.30000000000001</v>
      </c>
      <c r="G13" s="34">
        <f>E13-D13</f>
        <v>141.36599999999999</v>
      </c>
      <c r="H13" s="34">
        <v>373.654</v>
      </c>
      <c r="I13" s="9">
        <f t="shared" si="0"/>
        <v>144.9</v>
      </c>
    </row>
    <row r="14" spans="1:10" ht="15.75">
      <c r="A14" s="7" t="s">
        <v>20</v>
      </c>
      <c r="B14" s="217" t="s">
        <v>21</v>
      </c>
      <c r="C14" s="89" t="s">
        <v>11</v>
      </c>
      <c r="D14" s="255">
        <f>D16+D17+D18</f>
        <v>5257.4949999999999</v>
      </c>
      <c r="E14" s="255">
        <f>E16+E17+E18</f>
        <v>5396.7219999999998</v>
      </c>
      <c r="F14" s="255">
        <f>ROUND(E14/D14*100,1)</f>
        <v>102.6</v>
      </c>
      <c r="G14" s="255">
        <f>E14-D14</f>
        <v>139.22699999999986</v>
      </c>
      <c r="H14" s="6">
        <v>5318.3</v>
      </c>
      <c r="I14" s="9">
        <f t="shared" si="0"/>
        <v>101.5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>
        <v>0</v>
      </c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4338.7</v>
      </c>
      <c r="E16" s="34">
        <v>4547.835</v>
      </c>
      <c r="F16" s="34">
        <f>ROUND(E16/D16*100,1)</f>
        <v>104.8</v>
      </c>
      <c r="G16" s="34">
        <f>E16-D16</f>
        <v>209.13500000000022</v>
      </c>
      <c r="H16" s="34">
        <v>4605.4390000000003</v>
      </c>
      <c r="I16" s="9">
        <f t="shared" si="0"/>
        <v>98.7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57.494999999999997</v>
      </c>
      <c r="E17" s="34">
        <v>57.595999999999997</v>
      </c>
      <c r="F17" s="34">
        <f>ROUND(E17/D17*100,1)</f>
        <v>100.2</v>
      </c>
      <c r="G17" s="34">
        <f>E17-D17</f>
        <v>0.10099999999999909</v>
      </c>
      <c r="H17" s="34">
        <v>62.009</v>
      </c>
      <c r="I17" s="9">
        <f t="shared" si="0"/>
        <v>92.9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v>861.3</v>
      </c>
      <c r="E18" s="34">
        <v>791.29100000000005</v>
      </c>
      <c r="F18" s="34">
        <f>ROUND(E18/D18*100,1)</f>
        <v>91.9</v>
      </c>
      <c r="G18" s="34">
        <f>E18-D18</f>
        <v>-70.008999999999901</v>
      </c>
      <c r="H18" s="18">
        <v>650.85199999999998</v>
      </c>
      <c r="I18" s="9">
        <f t="shared" si="0"/>
        <v>121.6</v>
      </c>
    </row>
    <row r="19" spans="1:12" ht="18.75">
      <c r="A19" s="7" t="s">
        <v>23</v>
      </c>
      <c r="B19" s="217" t="s">
        <v>24</v>
      </c>
      <c r="C19" s="89" t="s">
        <v>25</v>
      </c>
      <c r="D19" s="255">
        <f>D21+D22+D23+D24</f>
        <v>25836.048999999999</v>
      </c>
      <c r="E19" s="255">
        <f>E21+E22+E23+E24</f>
        <v>23102.03</v>
      </c>
      <c r="F19" s="255">
        <f>ROUND(E19/D19*100,1)</f>
        <v>89.4</v>
      </c>
      <c r="G19" s="255">
        <f>E19-D19</f>
        <v>-2734.0190000000002</v>
      </c>
      <c r="H19" s="6">
        <v>17375.77</v>
      </c>
      <c r="I19" s="9">
        <f t="shared" si="0"/>
        <v>133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>
        <v>0</v>
      </c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6647.7</v>
      </c>
      <c r="E21" s="34">
        <v>6133.5119999999997</v>
      </c>
      <c r="F21" s="34">
        <f>ROUND(E21/D21*100,1)</f>
        <v>92.3</v>
      </c>
      <c r="G21" s="34">
        <f t="shared" ref="G21:G31" si="1">E21-D21</f>
        <v>-514.1880000000001</v>
      </c>
      <c r="H21" s="34">
        <v>6284.2309999999998</v>
      </c>
      <c r="I21" s="9">
        <f t="shared" si="0"/>
        <v>97.6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19188.348999999998</v>
      </c>
      <c r="E22" s="34">
        <v>16968.518</v>
      </c>
      <c r="F22" s="34">
        <f>ROUND(E22/D22*100,1)</f>
        <v>88.4</v>
      </c>
      <c r="G22" s="34">
        <f t="shared" si="1"/>
        <v>-2219.8309999999983</v>
      </c>
      <c r="H22" s="34">
        <v>11091.539000000001</v>
      </c>
      <c r="I22" s="9">
        <f t="shared" si="0"/>
        <v>153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>
        <v>0</v>
      </c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/>
      <c r="E24" s="195"/>
      <c r="F24" s="195">
        <v>0</v>
      </c>
      <c r="G24" s="195">
        <v>0</v>
      </c>
      <c r="H24" s="34">
        <v>0</v>
      </c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2443</v>
      </c>
      <c r="E25" s="18">
        <v>2543</v>
      </c>
      <c r="F25" s="18">
        <f t="shared" ref="F25:F29" si="2">ROUND(E25/D25*100,1)</f>
        <v>104.1</v>
      </c>
      <c r="G25" s="18">
        <f t="shared" si="1"/>
        <v>100</v>
      </c>
      <c r="H25" s="34">
        <v>1424</v>
      </c>
      <c r="I25" s="9">
        <f t="shared" si="0"/>
        <v>178.6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1291552.3389999999</v>
      </c>
      <c r="E26" s="18">
        <v>1313366.2649999999</v>
      </c>
      <c r="F26" s="18">
        <f t="shared" si="2"/>
        <v>101.7</v>
      </c>
      <c r="G26" s="18">
        <f t="shared" si="1"/>
        <v>21813.925999999978</v>
      </c>
      <c r="H26" s="18">
        <v>1144272.399</v>
      </c>
      <c r="I26" s="18">
        <f t="shared" si="0"/>
        <v>114.8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224.096</v>
      </c>
      <c r="E27" s="242">
        <v>76.680000000000007</v>
      </c>
      <c r="F27" s="18">
        <f t="shared" si="2"/>
        <v>34.200000000000003</v>
      </c>
      <c r="G27" s="18">
        <f>E27-D27</f>
        <v>-147.416</v>
      </c>
      <c r="H27" s="34">
        <v>14.151</v>
      </c>
      <c r="I27" s="18">
        <f t="shared" si="0"/>
        <v>541.9</v>
      </c>
      <c r="J27" t="s">
        <v>22</v>
      </c>
      <c r="K27"/>
    </row>
    <row r="28" spans="1:12" ht="31.5">
      <c r="A28" s="7" t="s">
        <v>39</v>
      </c>
      <c r="B28" s="219" t="s">
        <v>40</v>
      </c>
      <c r="C28" s="18" t="s">
        <v>37</v>
      </c>
      <c r="D28" s="18">
        <v>241354.1</v>
      </c>
      <c r="E28" s="18">
        <v>281322.90299999999</v>
      </c>
      <c r="F28" s="18">
        <f t="shared" si="2"/>
        <v>116.6</v>
      </c>
      <c r="G28" s="18">
        <f t="shared" si="1"/>
        <v>39968.802999999985</v>
      </c>
      <c r="H28" s="18">
        <v>205011.99400000001</v>
      </c>
      <c r="I28" s="9">
        <f t="shared" si="0"/>
        <v>137.19999999999999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5135.7</v>
      </c>
      <c r="E29" s="18">
        <v>5493.2</v>
      </c>
      <c r="F29" s="18">
        <f t="shared" si="2"/>
        <v>107</v>
      </c>
      <c r="G29" s="18">
        <f t="shared" si="1"/>
        <v>357.5</v>
      </c>
      <c r="H29" s="34">
        <v>6879.451</v>
      </c>
      <c r="I29" s="9">
        <f>IF(H29&gt;0,ROUND(E29/H29*100,1),0)</f>
        <v>79.8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44</v>
      </c>
      <c r="B32" s="219" t="s">
        <v>48</v>
      </c>
      <c r="C32" s="18" t="s">
        <v>37</v>
      </c>
      <c r="D32" s="23"/>
      <c r="E32" s="23"/>
      <c r="F32" s="23"/>
      <c r="G32" s="23"/>
      <c r="H32" s="18">
        <v>0</v>
      </c>
      <c r="I32" s="18">
        <f>IF(H32&gt;0,ROUND(E32/H32*100,1),0)</f>
        <v>0</v>
      </c>
    </row>
    <row r="33" spans="1:10" ht="15.75">
      <c r="A33" s="7" t="s">
        <v>47</v>
      </c>
      <c r="B33" s="217" t="s">
        <v>50</v>
      </c>
      <c r="C33" s="18" t="s">
        <v>37</v>
      </c>
      <c r="D33" s="26">
        <f>D35+D39+D40+D41+D42+D43+D45+D44</f>
        <v>137888.39500000008</v>
      </c>
      <c r="E33" s="26">
        <f>E35+E39+E40+E41+E42+E43+E45+E44</f>
        <v>190382.96400000004</v>
      </c>
      <c r="F33" s="26"/>
      <c r="G33" s="26">
        <f t="shared" ref="G33:G44" si="3">E33-D33</f>
        <v>52494.568999999959</v>
      </c>
      <c r="H33" s="26">
        <v>-28876.72099999999</v>
      </c>
      <c r="I33" s="26">
        <f>IF(H33&gt;0,ROUND(E33/H33*100,1),0)</f>
        <v>0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3"/>
        <v>0</v>
      </c>
      <c r="H34" s="28" t="s">
        <v>73</v>
      </c>
      <c r="I34" s="28"/>
    </row>
    <row r="35" spans="1:10" ht="15.75">
      <c r="A35" s="34"/>
      <c r="B35" s="223" t="s">
        <v>53</v>
      </c>
      <c r="C35" s="18" t="s">
        <v>37</v>
      </c>
      <c r="D35" s="28">
        <f>D37+D38</f>
        <v>983.04600000008145</v>
      </c>
      <c r="E35" s="28">
        <f>E96</f>
        <v>54055.035000000047</v>
      </c>
      <c r="F35" s="28"/>
      <c r="G35" s="28">
        <f t="shared" si="3"/>
        <v>53071.988999999965</v>
      </c>
      <c r="H35" s="28">
        <v>55468.876000000047</v>
      </c>
      <c r="I35" s="28">
        <f>IF(H35&gt;0,ROUND(E35/H35*100,1),0)</f>
        <v>97.5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8"/>
      <c r="E36" s="28"/>
      <c r="F36" s="28"/>
      <c r="G36" s="28"/>
      <c r="H36" s="28">
        <v>0</v>
      </c>
      <c r="I36" s="28"/>
    </row>
    <row r="37" spans="1:10" ht="15.75">
      <c r="A37" s="34"/>
      <c r="B37" s="224" t="s">
        <v>55</v>
      </c>
      <c r="C37" s="18" t="s">
        <v>37</v>
      </c>
      <c r="D37" s="28"/>
      <c r="E37" s="28"/>
      <c r="F37" s="28"/>
      <c r="G37" s="28"/>
      <c r="H37" s="28">
        <v>55468.876000000047</v>
      </c>
      <c r="I37" s="28"/>
    </row>
    <row r="38" spans="1:10" ht="15.75">
      <c r="A38" s="34"/>
      <c r="B38" s="224" t="s">
        <v>56</v>
      </c>
      <c r="C38" s="18" t="s">
        <v>37</v>
      </c>
      <c r="D38" s="28">
        <f>D96</f>
        <v>983.04600000008145</v>
      </c>
      <c r="E38" s="28">
        <f>E35</f>
        <v>54055.035000000047</v>
      </c>
      <c r="F38" s="28"/>
      <c r="G38" s="28">
        <f t="shared" si="3"/>
        <v>53071.988999999965</v>
      </c>
      <c r="H38" s="28">
        <v>0</v>
      </c>
      <c r="I38" s="28"/>
    </row>
    <row r="39" spans="1:10" ht="15.75">
      <c r="A39" s="34"/>
      <c r="B39" s="223" t="s">
        <v>57</v>
      </c>
      <c r="C39" s="18" t="s">
        <v>37</v>
      </c>
      <c r="D39" s="28">
        <f>D129</f>
        <v>136905.34899999999</v>
      </c>
      <c r="E39" s="28">
        <f>E129</f>
        <v>136327.929</v>
      </c>
      <c r="F39" s="28">
        <f t="shared" ref="F39" si="4">ROUND(E39/D39*100,1)</f>
        <v>99.6</v>
      </c>
      <c r="G39" s="28">
        <f t="shared" si="3"/>
        <v>-577.4199999999837</v>
      </c>
      <c r="H39" s="28">
        <v>136492.14499999999</v>
      </c>
      <c r="I39" s="28">
        <f>IF(H39&gt;0,ROUND(E39/H39*100,1),0)</f>
        <v>99.9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3"/>
        <v>0</v>
      </c>
      <c r="H40" s="28">
        <v>0</v>
      </c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3"/>
        <v>0</v>
      </c>
      <c r="H41" s="28">
        <v>0</v>
      </c>
      <c r="I41" s="28"/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3"/>
        <v>0</v>
      </c>
      <c r="H42" s="28">
        <v>0</v>
      </c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3"/>
        <v>0</v>
      </c>
      <c r="H43" s="28">
        <v>0</v>
      </c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3"/>
        <v>0</v>
      </c>
      <c r="H44" s="28">
        <v>0</v>
      </c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28">
        <v>0</v>
      </c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49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67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76</v>
      </c>
      <c r="B59" s="220" t="s">
        <v>85</v>
      </c>
      <c r="C59" s="18" t="s">
        <v>86</v>
      </c>
      <c r="D59" s="28">
        <v>6117</v>
      </c>
      <c r="E59" s="28">
        <v>5573</v>
      </c>
      <c r="F59" s="28">
        <f>ROUND(E59/D59*100,1)</f>
        <v>91.1</v>
      </c>
      <c r="G59" s="28">
        <f>E59-D59</f>
        <v>-544</v>
      </c>
      <c r="H59" s="28">
        <v>5682</v>
      </c>
      <c r="I59" s="28">
        <f t="shared" ref="I59:I64" si="5">IF(H59&gt;0,ROUND(E59/H59*100,1),0)</f>
        <v>98.1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>
        <v>0</v>
      </c>
      <c r="I60" s="28">
        <f t="shared" si="5"/>
        <v>0</v>
      </c>
    </row>
    <row r="61" spans="1:12" ht="15.75" collapsed="1">
      <c r="A61" s="34" t="s">
        <v>84</v>
      </c>
      <c r="B61" s="220" t="s">
        <v>92</v>
      </c>
      <c r="C61" s="18" t="s">
        <v>37</v>
      </c>
      <c r="D61" s="33">
        <v>312999.09999999998</v>
      </c>
      <c r="E61" s="33">
        <v>346803.5</v>
      </c>
      <c r="F61" s="28">
        <f>ROUND(E61/D61*100,1)</f>
        <v>110.8</v>
      </c>
      <c r="G61" s="28">
        <f>E61-D61</f>
        <v>33804.400000000023</v>
      </c>
      <c r="H61" s="28">
        <v>287577</v>
      </c>
      <c r="I61" s="28">
        <f t="shared" si="5"/>
        <v>120.6</v>
      </c>
      <c r="J61" t="s">
        <v>87</v>
      </c>
    </row>
    <row r="62" spans="1:12" ht="15.75">
      <c r="A62" s="34" t="s">
        <v>88</v>
      </c>
      <c r="B62" s="220" t="s">
        <v>94</v>
      </c>
      <c r="C62" s="18" t="s">
        <v>95</v>
      </c>
      <c r="D62" s="28">
        <f>D61/D59/12*1000</f>
        <v>4264.0605416598546</v>
      </c>
      <c r="E62" s="28">
        <v>5151.6000000000004</v>
      </c>
      <c r="F62" s="28">
        <f>ROUND(E62/D62*100,1)</f>
        <v>120.8</v>
      </c>
      <c r="G62" s="28">
        <f>E62-D62</f>
        <v>887.53945834014576</v>
      </c>
      <c r="H62" s="28">
        <v>4183.5</v>
      </c>
      <c r="I62" s="28">
        <f t="shared" si="5"/>
        <v>123.1</v>
      </c>
      <c r="J62" t="s">
        <v>87</v>
      </c>
      <c r="L62">
        <v>563699649</v>
      </c>
    </row>
    <row r="63" spans="1:12" ht="15.75">
      <c r="A63" s="34" t="s">
        <v>91</v>
      </c>
      <c r="B63" s="220" t="s">
        <v>97</v>
      </c>
      <c r="C63" s="18" t="s">
        <v>37</v>
      </c>
      <c r="D63" s="18"/>
      <c r="E63" s="18"/>
      <c r="F63" s="28"/>
      <c r="G63" s="18"/>
      <c r="H63" s="28">
        <v>981699</v>
      </c>
      <c r="I63" s="18">
        <f t="shared" si="5"/>
        <v>0</v>
      </c>
      <c r="J63" t="s">
        <v>58</v>
      </c>
      <c r="L63">
        <v>461145397.5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28">
        <v>0</v>
      </c>
      <c r="I64" s="59">
        <f t="shared" si="5"/>
        <v>0</v>
      </c>
      <c r="J64" s="31"/>
    </row>
    <row r="65" spans="1:13" ht="15.75" collapsed="1">
      <c r="A65" s="34" t="s">
        <v>93</v>
      </c>
      <c r="B65" s="220" t="s">
        <v>101</v>
      </c>
      <c r="C65" s="18" t="s">
        <v>102</v>
      </c>
      <c r="D65" s="60">
        <f>D125/D5*1000</f>
        <v>199735.64189655174</v>
      </c>
      <c r="E65" s="28">
        <v>138758.47</v>
      </c>
      <c r="F65" s="28">
        <f>ROUND(E65/D65*100,1)</f>
        <v>69.5</v>
      </c>
      <c r="G65" s="28">
        <f>E65-D65</f>
        <v>-60977.171896551736</v>
      </c>
      <c r="H65" s="28">
        <v>131572.17000000001</v>
      </c>
      <c r="I65" s="28">
        <f>ROUND(E65/H65*100,1)</f>
        <v>105.5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96</v>
      </c>
      <c r="B70" s="220" t="s">
        <v>108</v>
      </c>
      <c r="C70" s="18" t="s">
        <v>37</v>
      </c>
      <c r="D70" s="28">
        <v>1365338.1980000001</v>
      </c>
      <c r="E70" s="18">
        <v>1164842.581</v>
      </c>
      <c r="F70" s="18">
        <f t="shared" ref="F70:F96" si="6">ROUND(E70/D70*100,1)</f>
        <v>85.3</v>
      </c>
      <c r="G70" s="18">
        <f>E70-D70</f>
        <v>-200495.61700000009</v>
      </c>
      <c r="H70" s="18">
        <v>1244877</v>
      </c>
      <c r="I70" s="18">
        <f t="shared" ref="I70:I85" si="7">ROUND(E70/H70*100,1)</f>
        <v>93.6</v>
      </c>
      <c r="J70" t="s">
        <v>103</v>
      </c>
      <c r="M70">
        <f>1759313-152984-76292-1017231</f>
        <v>512806</v>
      </c>
    </row>
    <row r="71" spans="1:13" ht="15.75">
      <c r="A71" s="34" t="s">
        <v>98</v>
      </c>
      <c r="B71" s="220" t="s">
        <v>110</v>
      </c>
      <c r="C71" s="18" t="s">
        <v>37</v>
      </c>
      <c r="D71" s="28">
        <v>1057985.635</v>
      </c>
      <c r="E71" s="18">
        <v>671933.7</v>
      </c>
      <c r="F71" s="18">
        <f t="shared" si="6"/>
        <v>63.5</v>
      </c>
      <c r="G71" s="18">
        <f>E71-D71</f>
        <v>-386051.93500000006</v>
      </c>
      <c r="H71" s="18">
        <v>735937</v>
      </c>
      <c r="I71" s="18">
        <f t="shared" si="7"/>
        <v>91.3</v>
      </c>
      <c r="J71" t="s">
        <v>103</v>
      </c>
    </row>
    <row r="72" spans="1:13" ht="15.75">
      <c r="A72" s="34" t="s">
        <v>100</v>
      </c>
      <c r="B72" s="220" t="s">
        <v>112</v>
      </c>
      <c r="C72" s="18" t="s">
        <v>37</v>
      </c>
      <c r="D72" s="33">
        <f>D70-D71</f>
        <v>307352.56300000008</v>
      </c>
      <c r="E72" s="33">
        <f>E70-E71</f>
        <v>492908.88100000005</v>
      </c>
      <c r="F72" s="34">
        <f t="shared" si="6"/>
        <v>160.4</v>
      </c>
      <c r="G72" s="18">
        <f>E72-D72</f>
        <v>185556.31799999997</v>
      </c>
      <c r="H72" s="18">
        <v>508940</v>
      </c>
      <c r="I72" s="34">
        <f t="shared" si="7"/>
        <v>96.9</v>
      </c>
      <c r="J72" t="s">
        <v>103</v>
      </c>
      <c r="M72" s="11">
        <f>D72-D73</f>
        <v>122069.15800000008</v>
      </c>
    </row>
    <row r="73" spans="1:13" ht="15.75">
      <c r="A73" s="34" t="s">
        <v>107</v>
      </c>
      <c r="B73" s="227" t="s">
        <v>113</v>
      </c>
      <c r="C73" s="18" t="s">
        <v>37</v>
      </c>
      <c r="D73" s="26">
        <f>D74+D75+D76</f>
        <v>185283.405</v>
      </c>
      <c r="E73" s="6">
        <f>E74+E75+E76</f>
        <v>304008.38699999999</v>
      </c>
      <c r="F73" s="6">
        <f t="shared" si="6"/>
        <v>164.1</v>
      </c>
      <c r="G73" s="6">
        <f t="shared" ref="G73:G96" si="8">E73-D73</f>
        <v>118724.98199999999</v>
      </c>
      <c r="H73" s="18">
        <v>293618.34699999995</v>
      </c>
      <c r="I73" s="6">
        <f t="shared" si="7"/>
        <v>103.5</v>
      </c>
      <c r="J73" t="s">
        <v>103</v>
      </c>
      <c r="M73" s="11">
        <f>M72+D77</f>
        <v>122069.15800000008</v>
      </c>
    </row>
    <row r="74" spans="1:13" ht="15.75">
      <c r="A74" s="34"/>
      <c r="B74" s="228" t="s">
        <v>114</v>
      </c>
      <c r="C74" s="18" t="s">
        <v>37</v>
      </c>
      <c r="D74" s="28">
        <v>6696.5240000000003</v>
      </c>
      <c r="E74" s="34">
        <v>11814.968999999999</v>
      </c>
      <c r="F74" s="34">
        <f t="shared" si="6"/>
        <v>176.4</v>
      </c>
      <c r="G74" s="18">
        <f t="shared" si="8"/>
        <v>5118.4449999999988</v>
      </c>
      <c r="H74" s="18">
        <v>11346.853999999999</v>
      </c>
      <c r="I74" s="34">
        <f t="shared" si="7"/>
        <v>104.1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64157.940999999999</v>
      </c>
      <c r="E75" s="34">
        <v>60056.95</v>
      </c>
      <c r="F75" s="18">
        <f t="shared" si="6"/>
        <v>93.6</v>
      </c>
      <c r="G75" s="18">
        <f t="shared" si="8"/>
        <v>-4100.9910000000018</v>
      </c>
      <c r="H75" s="18">
        <v>57456</v>
      </c>
      <c r="I75" s="18">
        <f t="shared" si="7"/>
        <v>104.5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114428.94</v>
      </c>
      <c r="E76" s="34">
        <v>232136.46799999999</v>
      </c>
      <c r="F76" s="18">
        <f t="shared" si="6"/>
        <v>202.9</v>
      </c>
      <c r="G76" s="18">
        <f t="shared" si="8"/>
        <v>117707.52799999999</v>
      </c>
      <c r="H76" s="18">
        <v>224815.49299999999</v>
      </c>
      <c r="I76" s="18">
        <f t="shared" si="7"/>
        <v>103.3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34">
        <v>23626.213</v>
      </c>
      <c r="F77" s="18"/>
      <c r="G77" s="18">
        <f t="shared" si="8"/>
        <v>23626.213</v>
      </c>
      <c r="H77" s="18">
        <v>19644.62</v>
      </c>
      <c r="I77" s="18">
        <f t="shared" si="7"/>
        <v>120.3</v>
      </c>
      <c r="J77" t="s">
        <v>103</v>
      </c>
    </row>
    <row r="78" spans="1:13" ht="15.75">
      <c r="A78" s="34"/>
      <c r="B78" s="220" t="s">
        <v>277</v>
      </c>
      <c r="C78" s="18" t="s">
        <v>37</v>
      </c>
      <c r="D78" s="28"/>
      <c r="E78" s="34">
        <v>0</v>
      </c>
      <c r="F78" s="18"/>
      <c r="G78" s="18">
        <f t="shared" si="8"/>
        <v>0</v>
      </c>
      <c r="H78" s="18">
        <v>52138.917999999998</v>
      </c>
      <c r="I78" s="18">
        <f t="shared" si="7"/>
        <v>0</v>
      </c>
      <c r="J78" t="s">
        <v>103</v>
      </c>
    </row>
    <row r="79" spans="1:13" ht="15.75">
      <c r="A79" s="34"/>
      <c r="B79" s="220" t="s">
        <v>118</v>
      </c>
      <c r="C79" s="18" t="s">
        <v>37</v>
      </c>
      <c r="D79" s="28">
        <v>120912.633</v>
      </c>
      <c r="E79" s="34">
        <v>148576.769</v>
      </c>
      <c r="F79" s="18">
        <f t="shared" si="6"/>
        <v>122.9</v>
      </c>
      <c r="G79" s="18">
        <f t="shared" si="8"/>
        <v>27664.135999999999</v>
      </c>
      <c r="H79" s="18">
        <v>220917</v>
      </c>
      <c r="I79" s="18">
        <f t="shared" si="7"/>
        <v>67.3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6"/>
        <v>#DIV/0!</v>
      </c>
      <c r="G80" s="18">
        <f t="shared" si="8"/>
        <v>0</v>
      </c>
      <c r="H80" s="18">
        <v>0</v>
      </c>
      <c r="I80" s="18" t="e">
        <f t="shared" si="7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6"/>
        <v>#DIV/0!</v>
      </c>
      <c r="G81" s="18">
        <f t="shared" si="8"/>
        <v>0</v>
      </c>
      <c r="H81" s="18">
        <v>0</v>
      </c>
      <c r="I81" s="18" t="e">
        <f t="shared" si="7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6"/>
        <v>#DIV/0!</v>
      </c>
      <c r="G82" s="18">
        <f t="shared" si="8"/>
        <v>0</v>
      </c>
      <c r="H82" s="18">
        <v>0</v>
      </c>
      <c r="I82" s="18" t="e">
        <f t="shared" si="7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6"/>
        <v>#DIV/0!</v>
      </c>
      <c r="G83" s="18">
        <f t="shared" si="8"/>
        <v>0</v>
      </c>
      <c r="H83" s="18">
        <v>0</v>
      </c>
      <c r="I83" s="18" t="e">
        <f t="shared" si="7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6"/>
        <v>#DIV/0!</v>
      </c>
      <c r="G84" s="18">
        <f t="shared" si="8"/>
        <v>0</v>
      </c>
      <c r="H84" s="18">
        <v>0</v>
      </c>
      <c r="I84" s="18" t="e">
        <f t="shared" si="7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6"/>
        <v>#DIV/0!</v>
      </c>
      <c r="G85" s="18">
        <f t="shared" si="8"/>
        <v>0</v>
      </c>
      <c r="H85" s="18">
        <v>0</v>
      </c>
      <c r="I85" s="18" t="e">
        <f t="shared" si="7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6"/>
        <v>#DIV/0!</v>
      </c>
      <c r="G86" s="18">
        <f t="shared" si="8"/>
        <v>0</v>
      </c>
      <c r="H86" s="18">
        <v>0</v>
      </c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6"/>
        <v>#DIV/0!</v>
      </c>
      <c r="G87" s="18">
        <f t="shared" si="8"/>
        <v>0</v>
      </c>
      <c r="H87" s="18">
        <v>0</v>
      </c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6"/>
        <v>#DIV/0!</v>
      </c>
      <c r="G88" s="18">
        <f t="shared" si="8"/>
        <v>0</v>
      </c>
      <c r="H88" s="18">
        <v>0</v>
      </c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D72-D73+D77-D79</f>
        <v>1156.5250000000815</v>
      </c>
      <c r="E89" s="26">
        <f>E72-E73+E77+E78-E79</f>
        <v>63949.938000000053</v>
      </c>
      <c r="F89" s="6">
        <f t="shared" si="6"/>
        <v>5529.5</v>
      </c>
      <c r="G89" s="6">
        <f t="shared" si="8"/>
        <v>62793.412999999971</v>
      </c>
      <c r="H89" s="18">
        <v>66188.19100000005</v>
      </c>
      <c r="I89" s="6">
        <f t="shared" ref="I89:I96" si="9">ROUND(E89/H89*100,1)</f>
        <v>96.6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 t="s">
        <v>73</v>
      </c>
      <c r="E90" s="195"/>
      <c r="F90" s="195">
        <v>0</v>
      </c>
      <c r="G90" s="195">
        <v>0</v>
      </c>
      <c r="H90" s="18"/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8"/>
        <v>-15.822778173897415</v>
      </c>
      <c r="H91" s="18">
        <v>0</v>
      </c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1156.5250000000815</v>
      </c>
      <c r="E92" s="34">
        <f>E89</f>
        <v>63949.938000000053</v>
      </c>
      <c r="F92" s="18">
        <f t="shared" si="6"/>
        <v>5529.5</v>
      </c>
      <c r="G92" s="18">
        <f t="shared" si="8"/>
        <v>62793.412999999971</v>
      </c>
      <c r="H92" s="18">
        <v>66188.19100000005</v>
      </c>
      <c r="I92" s="18">
        <f t="shared" si="9"/>
        <v>96.6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v>173.47900000000001</v>
      </c>
      <c r="E93" s="195">
        <v>9850.5290000000005</v>
      </c>
      <c r="F93" s="195">
        <v>0</v>
      </c>
      <c r="G93" s="195">
        <v>0</v>
      </c>
      <c r="H93" s="18">
        <v>10719.315000000001</v>
      </c>
      <c r="I93" s="195">
        <v>0</v>
      </c>
      <c r="J93" t="s">
        <v>103</v>
      </c>
    </row>
    <row r="94" spans="1:10" ht="15.75">
      <c r="A94" s="34"/>
      <c r="B94" s="220" t="s">
        <v>279</v>
      </c>
      <c r="C94" s="18" t="s">
        <v>37</v>
      </c>
      <c r="D94" s="33">
        <v>0</v>
      </c>
      <c r="E94" s="34">
        <v>44.374000000000002</v>
      </c>
      <c r="F94" s="18"/>
      <c r="G94" s="18">
        <f t="shared" si="8"/>
        <v>44.374000000000002</v>
      </c>
      <c r="H94" s="18">
        <v>0</v>
      </c>
      <c r="I94" s="18"/>
      <c r="J94" t="s">
        <v>103</v>
      </c>
    </row>
    <row r="95" spans="1:10" ht="15.75" hidden="1" outlineLevel="1">
      <c r="A95" s="34"/>
      <c r="B95" s="220" t="s">
        <v>131</v>
      </c>
      <c r="C95" s="18" t="s">
        <v>37</v>
      </c>
      <c r="D95" s="33"/>
      <c r="E95" s="34"/>
      <c r="F95" s="18" t="e">
        <f t="shared" si="6"/>
        <v>#DIV/0!</v>
      </c>
      <c r="G95" s="18">
        <f t="shared" si="8"/>
        <v>0</v>
      </c>
      <c r="H95" s="18">
        <v>0</v>
      </c>
      <c r="I95" s="18" t="e">
        <f t="shared" si="9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983.04600000008145</v>
      </c>
      <c r="E96" s="34">
        <f>E92-E93-E94</f>
        <v>54055.035000000047</v>
      </c>
      <c r="F96" s="18">
        <f t="shared" si="6"/>
        <v>5498.7</v>
      </c>
      <c r="G96" s="18">
        <f t="shared" si="8"/>
        <v>53071.988999999965</v>
      </c>
      <c r="H96" s="18">
        <v>55468.876000000047</v>
      </c>
      <c r="I96" s="18">
        <f t="shared" si="9"/>
        <v>97.5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>
        <f>'[13]9МЕС БЕЗ СПЕЦ.НАДБ.'!H97</f>
        <v>0</v>
      </c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>
        <f>'[13]9МЕС БЕЗ СПЕЦ.НАДБ.'!H98</f>
        <v>0</v>
      </c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>
        <f>'[13]9МЕС БЕЗ СПЕЦ.НАДБ.'!H99</f>
        <v>0</v>
      </c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>
        <f>'[13]9МЕС БЕЗ СПЕЦ.НАДБ.'!H100</f>
        <v>0</v>
      </c>
      <c r="I100" s="70"/>
    </row>
    <row r="101" spans="1:12" ht="15.75" collapsed="1">
      <c r="A101" s="34" t="s">
        <v>109</v>
      </c>
      <c r="B101" s="227" t="s">
        <v>137</v>
      </c>
      <c r="C101" s="18"/>
      <c r="D101" s="34"/>
      <c r="E101" s="34"/>
      <c r="F101" s="18"/>
      <c r="G101" s="18"/>
      <c r="H101" s="34">
        <f>'[13]9МЕС БЕЗ СПЕЦ.НАДБ.'!H101</f>
        <v>0</v>
      </c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137800.079</v>
      </c>
      <c r="E102" s="6">
        <f>E103+E106</f>
        <v>98533.93299999999</v>
      </c>
      <c r="F102" s="6">
        <f>ROUND(E102/D102*100,1)</f>
        <v>71.5</v>
      </c>
      <c r="G102" s="6">
        <f>E102-D102</f>
        <v>-39266.146000000008</v>
      </c>
      <c r="H102" s="18">
        <v>229924.55</v>
      </c>
      <c r="I102" s="6">
        <f>ROUND(E102/H102*100,1)</f>
        <v>42.9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173.47900000000001</v>
      </c>
      <c r="E103" s="195">
        <f>E93</f>
        <v>9850.5290000000005</v>
      </c>
      <c r="F103" s="195">
        <v>0</v>
      </c>
      <c r="G103" s="195">
        <v>0</v>
      </c>
      <c r="H103" s="18">
        <v>10719.315000000001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18">
        <v>0</v>
      </c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0">E105-D105</f>
        <v>0</v>
      </c>
      <c r="H105" s="18">
        <v>0</v>
      </c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>
        <v>137626.6</v>
      </c>
      <c r="E106" s="18">
        <v>88683.403999999995</v>
      </c>
      <c r="F106" s="18">
        <f>ROUND(E106/D106*100,1)</f>
        <v>64.400000000000006</v>
      </c>
      <c r="G106" s="34">
        <f t="shared" si="10"/>
        <v>-48943.196000000011</v>
      </c>
      <c r="H106" s="18">
        <v>116263</v>
      </c>
      <c r="I106" s="18">
        <f>ROUND(E106/H106*100,1)</f>
        <v>76.3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68524.823000000004</v>
      </c>
      <c r="E107" s="6">
        <f>SUM(E108:E112)</f>
        <v>71639.396999999997</v>
      </c>
      <c r="F107" s="6">
        <f>ROUND(E107/D107*100,1)</f>
        <v>104.5</v>
      </c>
      <c r="G107" s="6">
        <f t="shared" si="10"/>
        <v>3114.5739999999932</v>
      </c>
      <c r="H107" s="6">
        <v>59976.436000000002</v>
      </c>
      <c r="I107" s="6">
        <f>IF(H107&gt;0,ROUND(E107/H107*100,1),0)</f>
        <v>119.4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/>
      <c r="F108" s="6"/>
      <c r="G108" s="18">
        <f t="shared" si="10"/>
        <v>0</v>
      </c>
      <c r="H108" s="18">
        <v>115.926</v>
      </c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3021.2359999999999</v>
      </c>
      <c r="E109" s="34">
        <v>3816.3029999999999</v>
      </c>
      <c r="F109" s="18">
        <f>ROUND(E109/D109*100,1)</f>
        <v>126.3</v>
      </c>
      <c r="G109" s="18">
        <f t="shared" si="10"/>
        <v>795.06700000000001</v>
      </c>
      <c r="H109" s="18">
        <v>3374</v>
      </c>
      <c r="I109" s="34">
        <f>ROUND(E109/H109*100,1)</f>
        <v>113.1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1009.343</v>
      </c>
      <c r="E110" s="34">
        <v>1145.08</v>
      </c>
      <c r="F110" s="18">
        <f>ROUND(E110/D110*100,1)</f>
        <v>113.4</v>
      </c>
      <c r="G110" s="18">
        <f t="shared" si="10"/>
        <v>135.73699999999997</v>
      </c>
      <c r="H110" s="18">
        <v>913</v>
      </c>
      <c r="I110" s="34">
        <f>ROUND(E110/H110*100,1)</f>
        <v>125.4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15577.38</v>
      </c>
      <c r="E111" s="34">
        <v>15577.566999999999</v>
      </c>
      <c r="F111" s="18">
        <f>ROUND(E111/D111*100,1)</f>
        <v>100</v>
      </c>
      <c r="G111" s="18">
        <f t="shared" si="10"/>
        <v>0.18699999999989814</v>
      </c>
      <c r="H111" s="18">
        <v>14210.51</v>
      </c>
      <c r="I111" s="34">
        <f>ROUND(E111/H111*100,1)</f>
        <v>109.6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48916.864000000001</v>
      </c>
      <c r="E112" s="34">
        <v>51100.447</v>
      </c>
      <c r="F112" s="18">
        <f>ROUND(E112/D112*100,1)</f>
        <v>104.5</v>
      </c>
      <c r="G112" s="18">
        <f t="shared" si="10"/>
        <v>2183.5829999999987</v>
      </c>
      <c r="H112" s="18">
        <v>41363</v>
      </c>
      <c r="I112" s="34">
        <f>ROUND(E112/H112*100,1)</f>
        <v>123.5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66383.991999999998</v>
      </c>
      <c r="E113" s="6">
        <f>SUM(E115:E120)</f>
        <v>60810.083999999995</v>
      </c>
      <c r="F113" s="6">
        <f>ROUND(E113/D113*100,1)</f>
        <v>91.6</v>
      </c>
      <c r="G113" s="6">
        <f t="shared" si="10"/>
        <v>-5573.9080000000031</v>
      </c>
      <c r="H113" s="18">
        <v>42965.798999999999</v>
      </c>
      <c r="I113" s="6">
        <f>ROUND(E113/H113*100,1)</f>
        <v>141.5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18">
        <v>0</v>
      </c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0" si="11">E115-D115</f>
        <v>0</v>
      </c>
      <c r="H115" s="18">
        <v>0</v>
      </c>
      <c r="I115" s="18" t="e">
        <f t="shared" ref="I115:I121" si="12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1"/>
        <v>0</v>
      </c>
      <c r="H116" s="18">
        <v>0</v>
      </c>
      <c r="I116" s="18" t="e">
        <f t="shared" si="12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f>D61*12%</f>
        <v>37559.891999999993</v>
      </c>
      <c r="E117" s="91">
        <v>52195.093999999997</v>
      </c>
      <c r="F117" s="18">
        <f>ROUND(E117/D117*100,1)</f>
        <v>139</v>
      </c>
      <c r="G117" s="18">
        <f t="shared" si="11"/>
        <v>14635.202000000005</v>
      </c>
      <c r="H117" s="18">
        <v>35902.290999999997</v>
      </c>
      <c r="I117" s="18">
        <f t="shared" si="12"/>
        <v>145.4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f>2834.211+949.961</f>
        <v>3784.1719999999996</v>
      </c>
      <c r="E118" s="261">
        <f>7265.498+1349.492</f>
        <v>8614.99</v>
      </c>
      <c r="F118" s="18">
        <f>ROUND(E118/D118*100,1)</f>
        <v>227.7</v>
      </c>
      <c r="G118" s="35">
        <f t="shared" si="11"/>
        <v>4830.8180000000002</v>
      </c>
      <c r="H118" s="18">
        <v>7063.5079999999998</v>
      </c>
      <c r="I118" s="18">
        <f t="shared" si="12"/>
        <v>122</v>
      </c>
      <c r="J118" s="11" t="s">
        <v>139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1"/>
        <v>0</v>
      </c>
      <c r="H119" s="18">
        <v>0</v>
      </c>
      <c r="I119" s="18" t="e">
        <f t="shared" si="12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25039.928</v>
      </c>
      <c r="E120" s="18"/>
      <c r="F120" s="18">
        <f>ROUND(E120/D120*100,1)</f>
        <v>0</v>
      </c>
      <c r="G120" s="18">
        <f t="shared" si="11"/>
        <v>-25039.928</v>
      </c>
      <c r="H120" s="18">
        <v>0</v>
      </c>
      <c r="I120" s="18" t="e">
        <f t="shared" si="12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272708.89399999997</v>
      </c>
      <c r="E121" s="6">
        <f>E102+E113+E107</f>
        <v>230983.41399999999</v>
      </c>
      <c r="F121" s="6">
        <f>ROUND(E121/D121*100,1)</f>
        <v>84.7</v>
      </c>
      <c r="G121" s="6">
        <f>E121-D121</f>
        <v>-41725.479999999981</v>
      </c>
      <c r="H121" s="6">
        <f>H102+H113+H107</f>
        <v>332866.78499999997</v>
      </c>
      <c r="I121" s="6">
        <f t="shared" si="12"/>
        <v>69.400000000000006</v>
      </c>
      <c r="J121" s="11" t="s">
        <v>139</v>
      </c>
    </row>
    <row r="122" spans="1:13" ht="15.75">
      <c r="A122" s="34" t="s">
        <v>111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18">
        <v>0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 t="s">
        <v>73</v>
      </c>
      <c r="I124" s="18"/>
    </row>
    <row r="125" spans="1:13" ht="24" customHeight="1" collapsed="1">
      <c r="A125" s="34" t="s">
        <v>278</v>
      </c>
      <c r="B125" s="227" t="s">
        <v>162</v>
      </c>
      <c r="C125" s="18" t="s">
        <v>37</v>
      </c>
      <c r="D125" s="6">
        <f>SUM(D127:D130)</f>
        <v>1158466.723</v>
      </c>
      <c r="E125" s="142">
        <f>SUM(E127:E130)</f>
        <v>876163.88399999996</v>
      </c>
      <c r="F125" s="6">
        <f t="shared" ref="F125:F130" si="13">ROUND(E125/D125*100,1)</f>
        <v>75.599999999999994</v>
      </c>
      <c r="G125" s="6">
        <f t="shared" ref="G125:G151" si="14">E125-D125</f>
        <v>-282302.83900000004</v>
      </c>
      <c r="H125" s="6">
        <v>698262.04</v>
      </c>
      <c r="I125" s="6">
        <f>ROUND(E125/H125*100,1)</f>
        <v>125.5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4"/>
        <v>0</v>
      </c>
      <c r="H126" s="18">
        <v>0</v>
      </c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726587.58400000003</v>
      </c>
      <c r="E127" s="18">
        <v>439642.283</v>
      </c>
      <c r="F127" s="18">
        <f t="shared" si="13"/>
        <v>60.5</v>
      </c>
      <c r="G127" s="18">
        <f t="shared" si="14"/>
        <v>-286945.30100000004</v>
      </c>
      <c r="H127" s="18">
        <v>306039.12300000002</v>
      </c>
      <c r="I127" s="18">
        <f>ROUND(E127/H127*100,1)</f>
        <v>143.69999999999999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f>237449.435+28493.929</f>
        <v>265943.364</v>
      </c>
      <c r="E128" s="18">
        <f>235867.173+28299.505</f>
        <v>264166.67800000001</v>
      </c>
      <c r="F128" s="18">
        <f t="shared" si="13"/>
        <v>99.3</v>
      </c>
      <c r="G128" s="18">
        <f t="shared" si="14"/>
        <v>-1776.685999999987</v>
      </c>
      <c r="H128" s="18">
        <v>224788.51700000002</v>
      </c>
      <c r="I128" s="18">
        <f>ROUND(E128/H128*100,1)</f>
        <v>117.5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136905.34899999999</v>
      </c>
      <c r="E129" s="18">
        <v>136327.929</v>
      </c>
      <c r="F129" s="18">
        <f t="shared" si="13"/>
        <v>99.6</v>
      </c>
      <c r="G129" s="18">
        <f t="shared" si="14"/>
        <v>-577.4199999999837</v>
      </c>
      <c r="H129" s="18">
        <v>136492.14499999999</v>
      </c>
      <c r="I129" s="18">
        <f>ROUND(E129/H129*100,1)</f>
        <v>99.9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29030.425999999999</v>
      </c>
      <c r="E130" s="18">
        <f>36026.994</f>
        <v>36026.993999999999</v>
      </c>
      <c r="F130" s="18">
        <f t="shared" si="13"/>
        <v>124.1</v>
      </c>
      <c r="G130" s="18">
        <f t="shared" si="14"/>
        <v>6996.5679999999993</v>
      </c>
      <c r="H130" s="18">
        <v>30942.255000000001</v>
      </c>
      <c r="I130" s="18">
        <f>ROUND(E130/H130*100,1)</f>
        <v>116.4</v>
      </c>
      <c r="J130" s="11" t="s">
        <v>139</v>
      </c>
    </row>
    <row r="131" spans="1:13" ht="23.25" customHeight="1">
      <c r="A131" s="18" t="s">
        <v>136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18"/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4"/>
        <v>0</v>
      </c>
      <c r="H132" s="18">
        <v>0</v>
      </c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18">
        <v>1533349.588</v>
      </c>
      <c r="F133" s="18"/>
      <c r="G133" s="18">
        <f t="shared" si="14"/>
        <v>1533349.588</v>
      </c>
      <c r="H133" s="18">
        <v>924154</v>
      </c>
      <c r="I133" s="18">
        <f>IF(H133&gt;0,ROUND(E133/H133*100,1),0)</f>
        <v>165.9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4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804125.076</v>
      </c>
      <c r="F135" s="18"/>
      <c r="G135" s="18">
        <f t="shared" si="14"/>
        <v>804125.076</v>
      </c>
      <c r="H135" s="18">
        <v>923559</v>
      </c>
      <c r="I135" s="18">
        <f t="shared" ref="I135:I144" si="15">IF(H135&gt;0,ROUND(E135/H135*100,1),0)</f>
        <v>87.1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67.058999999999997</v>
      </c>
      <c r="F136" s="18"/>
      <c r="G136" s="18">
        <f t="shared" si="14"/>
        <v>67.058999999999997</v>
      </c>
      <c r="H136" s="18">
        <v>595</v>
      </c>
      <c r="I136" s="18">
        <f t="shared" si="15"/>
        <v>11.3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f>E139+E140+E144</f>
        <v>244179.08299999998</v>
      </c>
      <c r="F137" s="18"/>
      <c r="G137" s="18">
        <f t="shared" si="14"/>
        <v>244179.08299999998</v>
      </c>
      <c r="H137" s="18">
        <v>0</v>
      </c>
      <c r="I137" s="18">
        <f t="shared" si="15"/>
        <v>0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4"/>
        <v>0</v>
      </c>
      <c r="H138" s="18">
        <v>0</v>
      </c>
      <c r="I138" s="18">
        <f t="shared" si="15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f>E141+E143+E142</f>
        <v>242644.27499999999</v>
      </c>
      <c r="F139" s="18"/>
      <c r="G139" s="81">
        <f t="shared" si="14"/>
        <v>242644.27499999999</v>
      </c>
      <c r="H139" s="18">
        <v>143757.57999999999</v>
      </c>
      <c r="I139" s="18">
        <f t="shared" si="15"/>
        <v>168.8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4"/>
        <v>0</v>
      </c>
      <c r="H140" s="18"/>
      <c r="I140" s="18">
        <f t="shared" si="15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119448.99400000001</v>
      </c>
      <c r="F141" s="18"/>
      <c r="G141" s="18">
        <f t="shared" si="14"/>
        <v>119448.99400000001</v>
      </c>
      <c r="H141" s="18">
        <v>102078.277</v>
      </c>
      <c r="I141" s="18">
        <f t="shared" si="15"/>
        <v>117</v>
      </c>
      <c r="K141" t="s">
        <v>170</v>
      </c>
      <c r="L141" t="s">
        <v>170</v>
      </c>
      <c r="M141" t="s">
        <v>182</v>
      </c>
    </row>
    <row r="142" spans="1:13" ht="20.25" customHeight="1">
      <c r="A142" s="34" t="s">
        <v>280</v>
      </c>
      <c r="B142" s="228" t="s">
        <v>281</v>
      </c>
      <c r="C142" s="18" t="s">
        <v>37</v>
      </c>
      <c r="D142" s="18"/>
      <c r="E142" s="18">
        <v>10149.686</v>
      </c>
      <c r="F142" s="18"/>
      <c r="G142" s="18"/>
      <c r="H142" s="18"/>
      <c r="I142" s="18"/>
    </row>
    <row r="143" spans="1:13" ht="15.75">
      <c r="A143" s="34"/>
      <c r="B143" s="228" t="s">
        <v>183</v>
      </c>
      <c r="C143" s="18" t="s">
        <v>37</v>
      </c>
      <c r="D143" s="18"/>
      <c r="E143" s="18">
        <v>113045.595</v>
      </c>
      <c r="F143" s="18"/>
      <c r="G143" s="18">
        <f t="shared" si="14"/>
        <v>113045.595</v>
      </c>
      <c r="H143" s="18">
        <v>35389.4</v>
      </c>
      <c r="I143" s="18">
        <f t="shared" si="15"/>
        <v>319.39999999999998</v>
      </c>
      <c r="K143" t="s">
        <v>170</v>
      </c>
      <c r="L143" t="s">
        <v>170</v>
      </c>
      <c r="M143" t="s">
        <v>184</v>
      </c>
    </row>
    <row r="144" spans="1:13" ht="15.75">
      <c r="A144" s="34"/>
      <c r="B144" s="237" t="s">
        <v>185</v>
      </c>
      <c r="C144" s="18" t="s">
        <v>37</v>
      </c>
      <c r="D144" s="18"/>
      <c r="E144" s="18">
        <v>1534.808</v>
      </c>
      <c r="F144" s="18"/>
      <c r="G144" s="18">
        <f>E144-D144</f>
        <v>1534.808</v>
      </c>
      <c r="H144" s="18">
        <v>7539.1239999999998</v>
      </c>
      <c r="I144" s="18">
        <f t="shared" si="15"/>
        <v>20.399999999999999</v>
      </c>
      <c r="K144" t="s">
        <v>170</v>
      </c>
      <c r="L144" t="s">
        <v>170</v>
      </c>
      <c r="M144" t="s">
        <v>186</v>
      </c>
    </row>
    <row r="145" spans="1:12" ht="18" customHeight="1">
      <c r="A145" s="34"/>
      <c r="B145" s="34" t="s">
        <v>163</v>
      </c>
      <c r="C145" s="18" t="s">
        <v>37</v>
      </c>
      <c r="D145" s="18"/>
      <c r="E145" s="18"/>
      <c r="F145" s="18"/>
      <c r="G145" s="18">
        <f t="shared" si="14"/>
        <v>0</v>
      </c>
      <c r="H145" s="18">
        <v>0</v>
      </c>
      <c r="I145" s="18"/>
      <c r="K145" t="s">
        <v>170</v>
      </c>
      <c r="L145" t="s">
        <v>170</v>
      </c>
    </row>
    <row r="146" spans="1:12" ht="15.75">
      <c r="A146" s="34"/>
      <c r="B146" s="224" t="s">
        <v>187</v>
      </c>
      <c r="C146" s="18" t="s">
        <v>37</v>
      </c>
      <c r="D146" s="18"/>
      <c r="E146" s="18">
        <v>1489.5889999999999</v>
      </c>
      <c r="F146" s="18"/>
      <c r="G146" s="18">
        <f t="shared" si="14"/>
        <v>1489.5889999999999</v>
      </c>
      <c r="H146" s="18">
        <v>0</v>
      </c>
      <c r="I146" s="18">
        <f>IF(H146&gt;0,ROUND(E146/H146*100,1),0)</f>
        <v>0</v>
      </c>
      <c r="K146" t="s">
        <v>170</v>
      </c>
    </row>
    <row r="147" spans="1:12" ht="18.75" hidden="1" customHeight="1" outlineLevel="1">
      <c r="A147" s="34" t="s">
        <v>188</v>
      </c>
      <c r="B147" s="220" t="s">
        <v>189</v>
      </c>
      <c r="C147" s="18" t="s">
        <v>37</v>
      </c>
      <c r="D147" s="35"/>
      <c r="E147" s="18"/>
      <c r="F147" s="18"/>
      <c r="G147" s="18">
        <f t="shared" si="14"/>
        <v>0</v>
      </c>
      <c r="H147" s="18">
        <v>0</v>
      </c>
      <c r="I147" s="18">
        <f>IF(H147&gt;0,ROUND(D147/H147*100,1),0)</f>
        <v>0</v>
      </c>
      <c r="K147" t="s">
        <v>170</v>
      </c>
    </row>
    <row r="148" spans="1:12" ht="15.75" collapsed="1">
      <c r="A148" s="34" t="s">
        <v>157</v>
      </c>
      <c r="B148" s="220" t="s">
        <v>190</v>
      </c>
      <c r="C148" s="258" t="s">
        <v>37</v>
      </c>
      <c r="D148" s="39"/>
      <c r="E148" s="259">
        <v>408467.37</v>
      </c>
      <c r="F148" s="18"/>
      <c r="G148" s="18"/>
      <c r="H148" s="18">
        <v>429749.08500000002</v>
      </c>
      <c r="I148" s="18">
        <f>ROUND(E148/H148*100,1)</f>
        <v>95</v>
      </c>
      <c r="K148" t="s">
        <v>170</v>
      </c>
      <c r="L148" t="s">
        <v>191</v>
      </c>
    </row>
    <row r="149" spans="1:12" ht="15.75" hidden="1" customHeight="1" outlineLevel="1">
      <c r="A149" s="34"/>
      <c r="B149" s="34" t="s">
        <v>12</v>
      </c>
      <c r="C149" s="258" t="s">
        <v>37</v>
      </c>
      <c r="D149" s="39"/>
      <c r="E149" s="259"/>
      <c r="F149" s="18"/>
      <c r="G149" s="18">
        <f t="shared" si="14"/>
        <v>0</v>
      </c>
      <c r="H149" s="18">
        <v>0</v>
      </c>
      <c r="I149" s="18"/>
      <c r="K149" t="s">
        <v>170</v>
      </c>
    </row>
    <row r="150" spans="1:12" ht="15.75" hidden="1" outlineLevel="1">
      <c r="A150" s="34"/>
      <c r="B150" s="220" t="s">
        <v>192</v>
      </c>
      <c r="C150" s="258" t="s">
        <v>37</v>
      </c>
      <c r="D150" s="18"/>
      <c r="E150" s="259"/>
      <c r="F150" s="18"/>
      <c r="G150" s="18">
        <f t="shared" si="14"/>
        <v>0</v>
      </c>
      <c r="H150" s="18">
        <v>0</v>
      </c>
      <c r="I150" s="18"/>
      <c r="K150" t="s">
        <v>170</v>
      </c>
    </row>
    <row r="151" spans="1:12" ht="15.75" hidden="1" outlineLevel="1">
      <c r="A151" s="34"/>
      <c r="B151" s="220" t="s">
        <v>193</v>
      </c>
      <c r="C151" s="258" t="s">
        <v>37</v>
      </c>
      <c r="D151" s="18"/>
      <c r="E151" s="259"/>
      <c r="F151" s="18"/>
      <c r="G151" s="18">
        <f t="shared" si="14"/>
        <v>0</v>
      </c>
      <c r="H151" s="18">
        <v>0</v>
      </c>
      <c r="I151" s="18" t="e">
        <f>ROUND(E151/H151*100,1)</f>
        <v>#DIV/0!</v>
      </c>
      <c r="K151" t="s">
        <v>170</v>
      </c>
    </row>
    <row r="152" spans="1:12" ht="15.75" collapsed="1">
      <c r="A152" s="34" t="s">
        <v>161</v>
      </c>
      <c r="B152" s="220" t="s">
        <v>194</v>
      </c>
      <c r="C152" s="258" t="s">
        <v>37</v>
      </c>
      <c r="D152" s="39"/>
      <c r="E152" s="259">
        <v>322300.05800000002</v>
      </c>
      <c r="F152" s="18"/>
      <c r="G152" s="18"/>
      <c r="H152" s="18">
        <v>270308.46600000001</v>
      </c>
      <c r="I152" s="18">
        <f>ROUND(E152/H152*100,1)</f>
        <v>119.2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260"/>
      <c r="E153" s="34">
        <f>'[13]1-полугод 2023 г. без.сп.над '!E152</f>
        <v>0</v>
      </c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34">
        <f>'[13]1-полугод 2023 г. без.сп.над '!E153</f>
        <v>0</v>
      </c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34">
        <f>'[13]1-полугод 2023 г. без.сп.над '!E154</f>
        <v>0</v>
      </c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34">
        <f>'[13]1-полугод 2023 г. без.сп.над '!E155</f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34">
        <f>'[13]1-полугод 2023 г. без.сп.над '!E156</f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34">
        <f>'[13]1-полугод 2023 г. без.сп.над '!E157</f>
        <v>0</v>
      </c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34">
        <f>'[13]1-полугод 2023 г. без.сп.над '!E158</f>
        <v>0</v>
      </c>
      <c r="F159" s="40"/>
      <c r="G159" s="40"/>
      <c r="H159" s="41"/>
      <c r="I159" s="40" t="e">
        <f>ROUND(E159/H159*100,1)</f>
        <v>#DIV/0!</v>
      </c>
    </row>
    <row r="160" spans="1:12" ht="48.75" customHeight="1" collapsed="1">
      <c r="H160" s="44"/>
    </row>
    <row r="161" spans="1:9" ht="18.75" hidden="1">
      <c r="A161" s="32"/>
      <c r="B161" s="45" t="s">
        <v>205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 hidden="1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 hidden="1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 hidden="1" outlineLevel="1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 hidden="1" outlineLevel="1">
      <c r="A165" s="32"/>
      <c r="B165" s="46" t="s">
        <v>206</v>
      </c>
      <c r="C165" s="46"/>
      <c r="D165" s="46"/>
      <c r="E165" s="46"/>
      <c r="F165" s="48"/>
      <c r="G165" s="46" t="str">
        <f>'[2]2019'!$G$164</f>
        <v>Бегматов  Ш.Т.</v>
      </c>
      <c r="H165" s="46"/>
      <c r="I165" s="48"/>
    </row>
    <row r="166" spans="1:9" ht="18.75" hidden="1" collapsed="1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 hidden="1">
      <c r="A167" s="32"/>
      <c r="B167" s="46" t="str">
        <f>'[3]2019'!B168</f>
        <v>Начальник ОЭАиП</v>
      </c>
      <c r="C167" s="46"/>
      <c r="D167" s="46"/>
      <c r="E167" s="46"/>
      <c r="F167" s="48"/>
      <c r="G167" s="46" t="s">
        <v>251</v>
      </c>
      <c r="H167" s="46"/>
      <c r="I167" s="48"/>
    </row>
    <row r="168" spans="1:9" ht="15.75" hidden="1">
      <c r="B168" s="49"/>
      <c r="C168" s="49"/>
      <c r="D168" s="49"/>
      <c r="E168" s="49"/>
      <c r="G168" s="49"/>
    </row>
    <row r="169" spans="1:9" ht="15.75" hidden="1">
      <c r="B169" s="49"/>
      <c r="C169" s="49"/>
      <c r="D169" s="49"/>
      <c r="E169" s="49"/>
      <c r="G169" s="49"/>
    </row>
    <row r="170" spans="1:9" ht="15.75" hidden="1">
      <c r="B170" s="207" t="s">
        <v>243</v>
      </c>
      <c r="C170" s="49"/>
      <c r="D170" s="49"/>
      <c r="E170" s="49"/>
      <c r="G170" s="49"/>
    </row>
    <row r="171" spans="1:9" ht="15.75">
      <c r="B171" s="49"/>
      <c r="C171" s="49"/>
      <c r="D171" s="49"/>
      <c r="E171" s="49"/>
      <c r="G171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" top="0.51181102362204722" bottom="0.15748031496062992" header="0.15748031496062992" footer="0.11811023622047245"/>
  <pageSetup paperSize="9" scale="64" orientation="portrait" blackAndWhite="1" r:id="rId1"/>
  <headerFooter alignWithMargins="0"/>
  <rowBreaks count="1" manualBreakCount="1">
    <brk id="96" max="8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/>
  <sheetData/>
  <printOptions horizontalCentere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17"/>
  <sheetViews>
    <sheetView workbookViewId="0">
      <selection activeCell="C8" sqref="C8"/>
    </sheetView>
  </sheetViews>
  <sheetFormatPr defaultRowHeight="12.75"/>
  <cols>
    <col min="2" max="2" width="52.140625" customWidth="1"/>
    <col min="3" max="3" width="22" customWidth="1"/>
  </cols>
  <sheetData>
    <row r="6" spans="2:3" ht="17.100000000000001" customHeight="1">
      <c r="B6" s="243" t="s">
        <v>257</v>
      </c>
      <c r="C6" s="245">
        <v>35115317</v>
      </c>
    </row>
    <row r="7" spans="2:3" ht="17.100000000000001" customHeight="1">
      <c r="B7" s="244" t="s">
        <v>258</v>
      </c>
      <c r="C7" s="245">
        <v>0</v>
      </c>
    </row>
    <row r="8" spans="2:3" ht="17.100000000000001" customHeight="1">
      <c r="B8" s="244" t="s">
        <v>259</v>
      </c>
      <c r="C8" s="245">
        <v>622258</v>
      </c>
    </row>
    <row r="9" spans="2:3" ht="17.100000000000001" customHeight="1">
      <c r="B9" s="244" t="s">
        <v>260</v>
      </c>
      <c r="C9" s="245">
        <v>0</v>
      </c>
    </row>
    <row r="10" spans="2:3" ht="17.100000000000001" customHeight="1">
      <c r="B10" s="244" t="s">
        <v>261</v>
      </c>
      <c r="C10" s="245">
        <v>4775103</v>
      </c>
    </row>
    <row r="11" spans="2:3" ht="17.100000000000001" customHeight="1">
      <c r="B11" s="244" t="s">
        <v>262</v>
      </c>
      <c r="C11" s="245">
        <v>20383547</v>
      </c>
    </row>
    <row r="12" spans="2:3" ht="17.100000000000001" customHeight="1">
      <c r="B12" s="244" t="s">
        <v>263</v>
      </c>
      <c r="C12" s="245">
        <v>980028</v>
      </c>
    </row>
    <row r="13" spans="2:3" ht="17.100000000000001" customHeight="1">
      <c r="B13" s="244" t="s">
        <v>264</v>
      </c>
      <c r="C13" s="245">
        <v>539076</v>
      </c>
    </row>
    <row r="14" spans="2:3" ht="17.100000000000001" customHeight="1">
      <c r="B14" s="244" t="s">
        <v>265</v>
      </c>
      <c r="C14" s="245">
        <v>7788690</v>
      </c>
    </row>
    <row r="15" spans="2:3" ht="17.100000000000001" customHeight="1">
      <c r="B15" s="244" t="s">
        <v>266</v>
      </c>
      <c r="C15" s="245">
        <v>0</v>
      </c>
    </row>
    <row r="16" spans="2:3" ht="17.100000000000001" customHeight="1">
      <c r="B16" s="244" t="s">
        <v>267</v>
      </c>
      <c r="C16" s="245">
        <v>64</v>
      </c>
    </row>
    <row r="17" spans="2:3" ht="17.100000000000001" customHeight="1">
      <c r="B17" s="244" t="s">
        <v>268</v>
      </c>
      <c r="C17" s="245">
        <v>26551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70"/>
  <sheetViews>
    <sheetView showZeros="0" view="pageBreakPreview" topLeftCell="B1" zoomScale="90" zoomScaleNormal="100" zoomScaleSheetLayoutView="90" workbookViewId="0">
      <pane ySplit="3" topLeftCell="A159" activePane="bottomLeft" state="frozen"/>
      <selection activeCell="S5" sqref="S5"/>
      <selection pane="bottomLeft" activeCell="G166" sqref="G166"/>
    </sheetView>
  </sheetViews>
  <sheetFormatPr defaultRowHeight="12.75" outlineLevelRow="2" outlineLevelCol="1"/>
  <cols>
    <col min="1" max="1" width="6.14062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5.7109375" customWidth="1" outlineLevel="1"/>
    <col min="11" max="11" width="13.28515625" customWidth="1" outlineLevel="1"/>
    <col min="12" max="12" width="12.42578125" customWidth="1" outlineLevel="1"/>
    <col min="13" max="14" width="9.140625" customWidth="1" outlineLevel="1"/>
  </cols>
  <sheetData>
    <row r="1" spans="1:10" ht="48" customHeight="1">
      <c r="A1" s="282" t="s">
        <v>252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253</v>
      </c>
      <c r="E2" s="289"/>
      <c r="F2" s="289"/>
      <c r="G2" s="289"/>
      <c r="H2" s="290" t="s">
        <v>254</v>
      </c>
      <c r="I2" s="288" t="s">
        <v>3</v>
      </c>
    </row>
    <row r="3" spans="1:10" ht="22.5" customHeight="1">
      <c r="A3" s="286"/>
      <c r="B3" s="287"/>
      <c r="C3" s="287"/>
      <c r="D3" s="216" t="s">
        <v>4</v>
      </c>
      <c r="E3" s="215" t="s">
        <v>5</v>
      </c>
      <c r="F3" s="215" t="s">
        <v>6</v>
      </c>
      <c r="G3" s="215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5">
        <f>D7+D8+D9</f>
        <v>1113.5</v>
      </c>
      <c r="E5" s="5">
        <f>E7+E8+E9</f>
        <v>928.19899999999996</v>
      </c>
      <c r="F5" s="5">
        <f>ROUND(E5/D5*100,1)</f>
        <v>83.4</v>
      </c>
      <c r="G5" s="5">
        <f>E5-D5</f>
        <v>-185.30100000000004</v>
      </c>
      <c r="H5" s="6">
        <f>H7+H8+H9</f>
        <v>1112.2670000000001</v>
      </c>
      <c r="I5" s="6">
        <f>IF(H5&gt;0,ROUND(E5/H5*100,1),0)</f>
        <v>83.5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/>
      <c r="I6" s="7"/>
    </row>
    <row r="7" spans="1:10" ht="15.75">
      <c r="A7" s="7"/>
      <c r="B7" s="218" t="s">
        <v>13</v>
      </c>
      <c r="C7" s="7" t="s">
        <v>11</v>
      </c>
      <c r="D7" s="34">
        <v>1000</v>
      </c>
      <c r="E7" s="34">
        <v>828.02099999999996</v>
      </c>
      <c r="F7" s="34">
        <f>ROUND(E7/D7*100,1)</f>
        <v>82.8</v>
      </c>
      <c r="G7" s="34">
        <f>E7-D7</f>
        <v>-171.97900000000004</v>
      </c>
      <c r="H7" s="34">
        <v>992.70799999999997</v>
      </c>
      <c r="I7" s="9">
        <f>IF(H7&gt;0,ROUND(E7/H7*100,1),0)</f>
        <v>83.4</v>
      </c>
    </row>
    <row r="8" spans="1:10" ht="15.75">
      <c r="A8" s="7"/>
      <c r="B8" s="218" t="s">
        <v>14</v>
      </c>
      <c r="C8" s="7" t="s">
        <v>11</v>
      </c>
      <c r="D8" s="34">
        <v>13.5</v>
      </c>
      <c r="E8" s="34">
        <v>13.093</v>
      </c>
      <c r="F8" s="34">
        <f>ROUND(E8/D8*100,1)</f>
        <v>97</v>
      </c>
      <c r="G8" s="34">
        <f>E8-D8</f>
        <v>-0.40700000000000003</v>
      </c>
      <c r="H8" s="34">
        <v>15.731</v>
      </c>
      <c r="I8" s="9">
        <f>IF(H8&gt;0,ROUND(E8/H8*100,1),0)</f>
        <v>83.2</v>
      </c>
    </row>
    <row r="9" spans="1:10" ht="15.75">
      <c r="A9" s="7"/>
      <c r="B9" s="218" t="s">
        <v>15</v>
      </c>
      <c r="C9" s="7" t="s">
        <v>11</v>
      </c>
      <c r="D9" s="34">
        <v>100</v>
      </c>
      <c r="E9" s="34">
        <v>87.084999999999994</v>
      </c>
      <c r="F9" s="34">
        <f>ROUND(E9/D9*100,1)</f>
        <v>87.1</v>
      </c>
      <c r="G9" s="34">
        <f>E9-D9</f>
        <v>-12.915000000000006</v>
      </c>
      <c r="H9" s="34">
        <v>103.828</v>
      </c>
      <c r="I9" s="9">
        <f>IF(H9&gt;0,ROUND(E9/H9*100,1),0)</f>
        <v>83.9</v>
      </c>
    </row>
    <row r="10" spans="1:10" ht="15.75">
      <c r="A10" s="7" t="s">
        <v>16</v>
      </c>
      <c r="B10" s="217" t="s">
        <v>17</v>
      </c>
      <c r="C10" s="10" t="s">
        <v>11</v>
      </c>
      <c r="D10" s="6">
        <f>D12+D13</f>
        <v>140</v>
      </c>
      <c r="E10" s="6">
        <f>E12+E13</f>
        <v>42.991</v>
      </c>
      <c r="F10" s="5">
        <f>ROUND(E10/D10*100,1)</f>
        <v>30.7</v>
      </c>
      <c r="G10" s="5">
        <f>E10-D10</f>
        <v>-97.009</v>
      </c>
      <c r="H10" s="18">
        <f>H12+H13</f>
        <v>52.733999999999995</v>
      </c>
      <c r="I10" s="9">
        <f t="shared" ref="I10:I28" si="0">IF(H10&gt;0,ROUND(E10/H10*100,1),0)</f>
        <v>81.5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55</v>
      </c>
      <c r="E12" s="34">
        <v>36.066000000000003</v>
      </c>
      <c r="F12" s="34">
        <f>ROUND(E12/D12*100,1)</f>
        <v>65.599999999999994</v>
      </c>
      <c r="G12" s="34">
        <f>E12-D12</f>
        <v>-18.933999999999997</v>
      </c>
      <c r="H12" s="34">
        <v>35.756999999999998</v>
      </c>
      <c r="I12" s="9">
        <f t="shared" si="0"/>
        <v>100.9</v>
      </c>
    </row>
    <row r="13" spans="1:10" ht="15.75">
      <c r="A13" s="7"/>
      <c r="B13" s="218" t="s">
        <v>19</v>
      </c>
      <c r="C13" s="7" t="s">
        <v>11</v>
      </c>
      <c r="D13" s="34">
        <v>85</v>
      </c>
      <c r="E13" s="34">
        <v>6.9249999999999998</v>
      </c>
      <c r="F13" s="34">
        <f>ROUND(E13/D13*100,1)</f>
        <v>8.1</v>
      </c>
      <c r="G13" s="34">
        <f>E13-D13</f>
        <v>-78.075000000000003</v>
      </c>
      <c r="H13" s="34">
        <v>16.977</v>
      </c>
      <c r="I13" s="9">
        <f t="shared" si="0"/>
        <v>40.799999999999997</v>
      </c>
    </row>
    <row r="14" spans="1:10" ht="15.75">
      <c r="A14" s="7" t="s">
        <v>20</v>
      </c>
      <c r="B14" s="217" t="s">
        <v>21</v>
      </c>
      <c r="C14" s="89" t="s">
        <v>11</v>
      </c>
      <c r="D14" s="5">
        <f>D16+D17+D18</f>
        <v>1090.5999999999999</v>
      </c>
      <c r="E14" s="5">
        <f>E16+E17+E18</f>
        <v>1001.127</v>
      </c>
      <c r="F14" s="5">
        <f>ROUND(E14/D14*100,1)</f>
        <v>91.8</v>
      </c>
      <c r="G14" s="5">
        <f>E14-D14</f>
        <v>-89.472999999999956</v>
      </c>
      <c r="H14" s="6">
        <f>H16+H17+H18</f>
        <v>1202.941</v>
      </c>
      <c r="I14" s="9">
        <f t="shared" si="0"/>
        <v>83.2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932.1</v>
      </c>
      <c r="E16" s="34">
        <v>811.19899999999996</v>
      </c>
      <c r="F16" s="34">
        <f>ROUND(E16/D16*100,1)</f>
        <v>87</v>
      </c>
      <c r="G16" s="34">
        <f>E16-D16</f>
        <v>-120.90100000000007</v>
      </c>
      <c r="H16" s="34">
        <v>1001.028</v>
      </c>
      <c r="I16" s="9">
        <f t="shared" si="0"/>
        <v>81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13.5</v>
      </c>
      <c r="E17" s="34">
        <v>13.276</v>
      </c>
      <c r="F17" s="34">
        <f>ROUND(E17/D17*100,1)</f>
        <v>98.3</v>
      </c>
      <c r="G17" s="34">
        <f>E17-D17</f>
        <v>-0.2240000000000002</v>
      </c>
      <c r="H17" s="34">
        <v>15.468999999999999</v>
      </c>
      <c r="I17" s="9">
        <f t="shared" si="0"/>
        <v>85.8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v>145</v>
      </c>
      <c r="E18" s="34">
        <v>176.65199999999999</v>
      </c>
      <c r="F18" s="34">
        <f>ROUND(E18/D18*100,1)</f>
        <v>121.8</v>
      </c>
      <c r="G18" s="34">
        <f>E18-D18</f>
        <v>31.651999999999987</v>
      </c>
      <c r="H18" s="18">
        <v>186.44399999999999</v>
      </c>
      <c r="I18" s="9">
        <f t="shared" si="0"/>
        <v>94.7</v>
      </c>
    </row>
    <row r="19" spans="1:12" ht="18.75">
      <c r="A19" s="7" t="s">
        <v>23</v>
      </c>
      <c r="B19" s="217" t="s">
        <v>24</v>
      </c>
      <c r="C19" s="89" t="s">
        <v>25</v>
      </c>
      <c r="D19" s="5">
        <f>D21+D22+D23+D24</f>
        <v>7890</v>
      </c>
      <c r="E19" s="5">
        <f>E21+E22+E23+E24</f>
        <v>4666.2479999999996</v>
      </c>
      <c r="F19" s="5">
        <f>ROUND(E19/D19*100,1)</f>
        <v>59.1</v>
      </c>
      <c r="G19" s="5">
        <f>E19-D19</f>
        <v>-3223.7520000000004</v>
      </c>
      <c r="H19" s="6">
        <f>H21+H22+H23+H24</f>
        <v>4894.0590000000002</v>
      </c>
      <c r="I19" s="9">
        <f t="shared" si="0"/>
        <v>95.3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1960</v>
      </c>
      <c r="E21" s="34">
        <v>1279.99</v>
      </c>
      <c r="F21" s="34">
        <f>ROUND(E21/D21*100,1)</f>
        <v>65.3</v>
      </c>
      <c r="G21" s="34">
        <f t="shared" ref="G21:G31" si="1">E21-D21</f>
        <v>-680.01</v>
      </c>
      <c r="H21" s="34">
        <v>1307.7950000000001</v>
      </c>
      <c r="I21" s="9">
        <f t="shared" si="0"/>
        <v>97.9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5930</v>
      </c>
      <c r="E22" s="34">
        <v>3386.2579999999998</v>
      </c>
      <c r="F22" s="34">
        <f>ROUND(E22/D22*100,1)</f>
        <v>57.1</v>
      </c>
      <c r="G22" s="34">
        <f t="shared" si="1"/>
        <v>-2543.7420000000002</v>
      </c>
      <c r="H22" s="34">
        <v>3586.2640000000001</v>
      </c>
      <c r="I22" s="9">
        <f t="shared" si="0"/>
        <v>94.4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>
        <v>0</v>
      </c>
      <c r="E24" s="195">
        <v>0</v>
      </c>
      <c r="F24" s="195">
        <v>0</v>
      </c>
      <c r="G24" s="195">
        <v>0</v>
      </c>
      <c r="H24" s="195">
        <v>0</v>
      </c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517</v>
      </c>
      <c r="E25" s="18">
        <v>588</v>
      </c>
      <c r="F25" s="18">
        <f t="shared" ref="F25:F29" si="2">ROUND(E25/D25*100,1)</f>
        <v>113.7</v>
      </c>
      <c r="G25" s="18">
        <f t="shared" si="1"/>
        <v>71</v>
      </c>
      <c r="H25" s="18">
        <v>363</v>
      </c>
      <c r="I25" s="9">
        <f t="shared" si="0"/>
        <v>162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249342.79399999999</v>
      </c>
      <c r="E26" s="18">
        <v>203136.31</v>
      </c>
      <c r="F26" s="18">
        <f t="shared" si="2"/>
        <v>81.5</v>
      </c>
      <c r="G26" s="18">
        <f t="shared" si="1"/>
        <v>-46206.483999999997</v>
      </c>
      <c r="H26" s="18">
        <v>243015.364</v>
      </c>
      <c r="I26" s="18">
        <f t="shared" si="0"/>
        <v>83.6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56.024000000000001</v>
      </c>
      <c r="E27" s="195"/>
      <c r="F27" s="195">
        <v>0</v>
      </c>
      <c r="G27" s="18">
        <f>E27-D27</f>
        <v>-56.024000000000001</v>
      </c>
      <c r="H27" s="18">
        <v>0</v>
      </c>
      <c r="I27" s="195">
        <v>0</v>
      </c>
      <c r="J27" t="s">
        <v>22</v>
      </c>
      <c r="K27"/>
    </row>
    <row r="28" spans="1:12" ht="31.5">
      <c r="A28" s="7" t="s">
        <v>39</v>
      </c>
      <c r="B28" s="219" t="s">
        <v>40</v>
      </c>
      <c r="C28" s="18" t="s">
        <v>37</v>
      </c>
      <c r="D28" s="18">
        <v>33150</v>
      </c>
      <c r="E28" s="18">
        <v>34722.627</v>
      </c>
      <c r="F28" s="18">
        <f t="shared" si="2"/>
        <v>104.7</v>
      </c>
      <c r="G28" s="18">
        <f t="shared" si="1"/>
        <v>1572.6270000000004</v>
      </c>
      <c r="H28" s="18">
        <v>31858.697</v>
      </c>
      <c r="I28" s="9">
        <f t="shared" si="0"/>
        <v>109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1121.0350000000001</v>
      </c>
      <c r="E29" s="18">
        <v>1231.3219999999999</v>
      </c>
      <c r="F29" s="18">
        <f t="shared" si="2"/>
        <v>109.8</v>
      </c>
      <c r="G29" s="195">
        <v>0</v>
      </c>
      <c r="H29" s="18">
        <v>1543.2</v>
      </c>
      <c r="I29" s="9">
        <f>IF(H29&gt;0,ROUND(E29/H29*100,1),0)</f>
        <v>79.8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47</v>
      </c>
      <c r="B32" s="219" t="s">
        <v>48</v>
      </c>
      <c r="C32" s="18" t="s">
        <v>37</v>
      </c>
      <c r="D32" s="23"/>
      <c r="E32" s="23"/>
      <c r="F32" s="23"/>
      <c r="G32" s="23"/>
      <c r="H32" s="18"/>
      <c r="I32" s="18">
        <f>IF(H32&gt;0,ROUND(E32/H32*100,1),0)</f>
        <v>0</v>
      </c>
    </row>
    <row r="33" spans="1:10" ht="15.75">
      <c r="A33" s="7" t="s">
        <v>49</v>
      </c>
      <c r="B33" s="217" t="s">
        <v>50</v>
      </c>
      <c r="C33" s="18" t="s">
        <v>37</v>
      </c>
      <c r="D33" s="26">
        <f>D35+D39+D40+D41+D42+D43+D45+D44</f>
        <v>27934.477000000021</v>
      </c>
      <c r="E33" s="26">
        <f>E35+E39+E40+E41+E42+E43+E45+E44</f>
        <v>13685.955000000005</v>
      </c>
      <c r="F33" s="26"/>
      <c r="G33" s="26">
        <f t="shared" ref="G33:G44" si="3">E33-D33</f>
        <v>-14248.522000000015</v>
      </c>
      <c r="H33" s="26">
        <f>H35+H39+H40+H41+H42+H43+H45+H44</f>
        <v>34979.002999999997</v>
      </c>
      <c r="I33" s="26">
        <f>IF(H33&gt;0,ROUND(E33/H33*100,1),0)</f>
        <v>39.1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3"/>
        <v>0</v>
      </c>
      <c r="H34" s="28"/>
      <c r="I34" s="28"/>
    </row>
    <row r="35" spans="1:10" ht="15.75">
      <c r="A35" s="34"/>
      <c r="B35" s="223" t="s">
        <v>53</v>
      </c>
      <c r="C35" s="18" t="s">
        <v>37</v>
      </c>
      <c r="D35" s="27">
        <f>D37+D38</f>
        <v>-6291.8609999999826</v>
      </c>
      <c r="E35" s="27">
        <f>E37+E38</f>
        <v>-20370.245999999996</v>
      </c>
      <c r="F35" s="28"/>
      <c r="G35" s="27">
        <f t="shared" si="3"/>
        <v>-14078.385000000013</v>
      </c>
      <c r="H35" s="28">
        <f>H37+H38</f>
        <v>0</v>
      </c>
      <c r="I35" s="28">
        <f>IF(H35&gt;0,ROUND(E35/H35*100,1),0)</f>
        <v>0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7"/>
      <c r="E36" s="28"/>
      <c r="F36" s="28"/>
      <c r="G36" s="27"/>
      <c r="H36" s="28"/>
      <c r="I36" s="28"/>
    </row>
    <row r="37" spans="1:10" ht="15.75">
      <c r="A37" s="34"/>
      <c r="B37" s="224" t="s">
        <v>55</v>
      </c>
      <c r="C37" s="18" t="s">
        <v>37</v>
      </c>
      <c r="D37" s="27">
        <f>D96</f>
        <v>-6291.8609999999826</v>
      </c>
      <c r="E37" s="28">
        <f>E92</f>
        <v>-20370.245999999996</v>
      </c>
      <c r="F37" s="28"/>
      <c r="G37" s="27"/>
      <c r="H37" s="28"/>
      <c r="I37" s="28"/>
    </row>
    <row r="38" spans="1:10" ht="15.75">
      <c r="A38" s="34"/>
      <c r="B38" s="224" t="s">
        <v>56</v>
      </c>
      <c r="C38" s="18" t="s">
        <v>37</v>
      </c>
      <c r="D38" s="27">
        <v>0</v>
      </c>
      <c r="E38" s="28">
        <v>0</v>
      </c>
      <c r="F38" s="28"/>
      <c r="G38" s="27">
        <f t="shared" si="3"/>
        <v>0</v>
      </c>
      <c r="H38" s="28">
        <v>0</v>
      </c>
      <c r="I38" s="28"/>
    </row>
    <row r="39" spans="1:10" ht="15.75">
      <c r="A39" s="34"/>
      <c r="B39" s="223" t="s">
        <v>57</v>
      </c>
      <c r="C39" s="18" t="s">
        <v>37</v>
      </c>
      <c r="D39" s="27">
        <f>D129</f>
        <v>34226.338000000003</v>
      </c>
      <c r="E39" s="27">
        <f>E129</f>
        <v>34056.201000000001</v>
      </c>
      <c r="F39" s="28">
        <f t="shared" ref="F39" si="4">ROUND(E39/D39*100,1)</f>
        <v>99.5</v>
      </c>
      <c r="G39" s="27">
        <f t="shared" si="3"/>
        <v>-170.13700000000244</v>
      </c>
      <c r="H39" s="28">
        <v>34979.002999999997</v>
      </c>
      <c r="I39" s="28">
        <f>IF(H39&gt;0,ROUND(E39/H39*100,1),0)</f>
        <v>97.4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3"/>
        <v>0</v>
      </c>
      <c r="H40" s="28"/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3"/>
        <v>0</v>
      </c>
      <c r="H41" s="28"/>
      <c r="I41" s="28">
        <f>IF(H41&gt;0,ROUND(E41/H41*100,1),0)</f>
        <v>0</v>
      </c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3"/>
        <v>0</v>
      </c>
      <c r="H42" s="18"/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3"/>
        <v>0</v>
      </c>
      <c r="H43" s="18"/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3"/>
        <v>0</v>
      </c>
      <c r="H44" s="18">
        <v>0</v>
      </c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18"/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67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0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0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0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0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0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0" ht="15.75" collapsed="1">
      <c r="A54" s="34" t="s">
        <v>76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0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0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0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0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0" ht="15.75">
      <c r="A59" s="34" t="s">
        <v>84</v>
      </c>
      <c r="B59" s="220" t="s">
        <v>85</v>
      </c>
      <c r="C59" s="18" t="s">
        <v>86</v>
      </c>
      <c r="D59" s="28">
        <v>6059</v>
      </c>
      <c r="E59" s="28">
        <v>5610</v>
      </c>
      <c r="F59" s="28">
        <f>ROUND(E59/D59*100,1)</f>
        <v>92.6</v>
      </c>
      <c r="G59" s="28">
        <f>E59-D59</f>
        <v>-449</v>
      </c>
      <c r="H59" s="28">
        <v>5739</v>
      </c>
      <c r="I59" s="28">
        <f t="shared" ref="I59:I64" si="5">IF(H59&gt;0,ROUND(E59/H59*100,1),0)</f>
        <v>97.8</v>
      </c>
      <c r="J59" t="s">
        <v>87</v>
      </c>
    </row>
    <row r="60" spans="1:10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5"/>
        <v>0</v>
      </c>
    </row>
    <row r="61" spans="1:10" ht="15.75" collapsed="1">
      <c r="A61" s="34" t="s">
        <v>91</v>
      </c>
      <c r="B61" s="220" t="s">
        <v>92</v>
      </c>
      <c r="C61" s="18" t="s">
        <v>37</v>
      </c>
      <c r="D61" s="33">
        <v>74317.7</v>
      </c>
      <c r="E61" s="33">
        <v>73742.080000000002</v>
      </c>
      <c r="F61" s="28">
        <f>ROUND(E61/D61*100,1)</f>
        <v>99.2</v>
      </c>
      <c r="G61" s="28">
        <f>E61-D61</f>
        <v>-575.61999999999534</v>
      </c>
      <c r="H61" s="33">
        <v>66428.899999999994</v>
      </c>
      <c r="I61" s="28">
        <f t="shared" si="5"/>
        <v>111</v>
      </c>
      <c r="J61" t="s">
        <v>87</v>
      </c>
    </row>
    <row r="62" spans="1:10" ht="15.75">
      <c r="A62" s="34" t="s">
        <v>93</v>
      </c>
      <c r="B62" s="220" t="s">
        <v>94</v>
      </c>
      <c r="C62" s="18" t="s">
        <v>95</v>
      </c>
      <c r="D62" s="28">
        <f>D61/3/D59*1000</f>
        <v>4088.5569675964134</v>
      </c>
      <c r="E62" s="28">
        <v>4343.3</v>
      </c>
      <c r="F62" s="28">
        <f>ROUND(E62/D62*100,1)</f>
        <v>106.2</v>
      </c>
      <c r="G62" s="28">
        <f>E62-D62</f>
        <v>254.74303240358677</v>
      </c>
      <c r="H62" s="28">
        <v>3828.3</v>
      </c>
      <c r="I62" s="28">
        <f t="shared" si="5"/>
        <v>113.5</v>
      </c>
      <c r="J62" t="s">
        <v>87</v>
      </c>
    </row>
    <row r="63" spans="1:10" ht="15.75">
      <c r="A63" s="34" t="s">
        <v>96</v>
      </c>
      <c r="B63" s="220" t="s">
        <v>97</v>
      </c>
      <c r="C63" s="18" t="s">
        <v>37</v>
      </c>
      <c r="D63" s="18"/>
      <c r="E63" s="18"/>
      <c r="F63" s="28"/>
      <c r="G63" s="18"/>
      <c r="H63" s="18">
        <v>1022356</v>
      </c>
      <c r="I63" s="18">
        <f t="shared" si="5"/>
        <v>0</v>
      </c>
      <c r="J63" t="s">
        <v>58</v>
      </c>
    </row>
    <row r="64" spans="1:10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58"/>
      <c r="I64" s="59">
        <f t="shared" si="5"/>
        <v>0</v>
      </c>
      <c r="J64" s="31"/>
    </row>
    <row r="65" spans="1:13" ht="15.75" collapsed="1">
      <c r="A65" s="34" t="s">
        <v>100</v>
      </c>
      <c r="B65" s="220" t="s">
        <v>101</v>
      </c>
      <c r="C65" s="18" t="s">
        <v>102</v>
      </c>
      <c r="D65" s="28">
        <v>225983.74</v>
      </c>
      <c r="E65" s="28">
        <v>192027.27</v>
      </c>
      <c r="F65" s="28">
        <f>ROUND(E65/D65*100,1)</f>
        <v>85</v>
      </c>
      <c r="G65" s="28">
        <f>E65-D65</f>
        <v>-33956.47</v>
      </c>
      <c r="H65" s="28">
        <v>152484.53</v>
      </c>
      <c r="I65" s="28">
        <f>ROUND(E65/H65*100,1)</f>
        <v>125.9</v>
      </c>
      <c r="J65" t="s">
        <v>103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107</v>
      </c>
      <c r="B70" s="220" t="s">
        <v>108</v>
      </c>
      <c r="C70" s="18" t="s">
        <v>37</v>
      </c>
      <c r="D70" s="28">
        <f>291290.386-50770.8</f>
        <v>240519.58600000001</v>
      </c>
      <c r="E70" s="18">
        <f>210992.6</f>
        <v>210992.6</v>
      </c>
      <c r="F70" s="18">
        <f t="shared" ref="F70:F96" si="6">ROUND(E70/D70*100,1)</f>
        <v>87.7</v>
      </c>
      <c r="G70" s="18">
        <f>E70-D70</f>
        <v>-29526.986000000004</v>
      </c>
      <c r="H70" s="18">
        <v>221200</v>
      </c>
      <c r="I70" s="18">
        <f t="shared" ref="I70:I85" si="7">ROUND(E70/H70*100,1)</f>
        <v>95.4</v>
      </c>
      <c r="J70" t="s">
        <v>103</v>
      </c>
      <c r="M70">
        <f>1759313-152984-76292-1017231</f>
        <v>512806</v>
      </c>
    </row>
    <row r="71" spans="1:13" ht="15.75">
      <c r="A71" s="34" t="s">
        <v>109</v>
      </c>
      <c r="B71" s="220" t="s">
        <v>110</v>
      </c>
      <c r="C71" s="18" t="s">
        <v>37</v>
      </c>
      <c r="D71" s="28">
        <f>234993.34-42623.6</f>
        <v>192369.74</v>
      </c>
      <c r="E71" s="18">
        <f>152607.454</f>
        <v>152607.454</v>
      </c>
      <c r="F71" s="18">
        <f t="shared" si="6"/>
        <v>79.3</v>
      </c>
      <c r="G71" s="18">
        <f>E71-D71</f>
        <v>-39762.285999999993</v>
      </c>
      <c r="H71" s="18">
        <v>140288.258</v>
      </c>
      <c r="I71" s="18">
        <f t="shared" si="7"/>
        <v>108.8</v>
      </c>
      <c r="J71" t="s">
        <v>103</v>
      </c>
    </row>
    <row r="72" spans="1:13" ht="15.75">
      <c r="A72" s="34" t="s">
        <v>111</v>
      </c>
      <c r="B72" s="220" t="s">
        <v>112</v>
      </c>
      <c r="C72" s="18" t="s">
        <v>37</v>
      </c>
      <c r="D72" s="33">
        <f>D70-D71</f>
        <v>48149.84600000002</v>
      </c>
      <c r="E72" s="33">
        <f>E70-E71</f>
        <v>58385.146000000008</v>
      </c>
      <c r="F72" s="34">
        <f t="shared" si="6"/>
        <v>121.3</v>
      </c>
      <c r="G72" s="18">
        <f>E72-D72</f>
        <v>10235.299999999988</v>
      </c>
      <c r="H72" s="34">
        <f>H70-H71</f>
        <v>80911.741999999998</v>
      </c>
      <c r="I72" s="34">
        <f t="shared" si="7"/>
        <v>72.2</v>
      </c>
      <c r="J72" t="s">
        <v>103</v>
      </c>
      <c r="M72" s="11">
        <f>D72-D73</f>
        <v>8708.1390000000174</v>
      </c>
    </row>
    <row r="73" spans="1:13" ht="15.75">
      <c r="A73" s="34"/>
      <c r="B73" s="227" t="s">
        <v>113</v>
      </c>
      <c r="C73" s="18" t="s">
        <v>37</v>
      </c>
      <c r="D73" s="26">
        <f>D74+D75+D76</f>
        <v>39441.707000000002</v>
      </c>
      <c r="E73" s="6">
        <f>E74+E75+E76</f>
        <v>49695.983</v>
      </c>
      <c r="F73" s="6">
        <f t="shared" si="6"/>
        <v>126</v>
      </c>
      <c r="G73" s="6">
        <f t="shared" ref="G73:G96" si="8">E73-D73</f>
        <v>10254.275999999998</v>
      </c>
      <c r="H73" s="26">
        <f>H74+H75+H76</f>
        <v>45874.741000000002</v>
      </c>
      <c r="I73" s="6">
        <f t="shared" si="7"/>
        <v>108.3</v>
      </c>
      <c r="J73" t="s">
        <v>103</v>
      </c>
      <c r="M73" s="11">
        <f>M72+D77</f>
        <v>8708.1390000000174</v>
      </c>
    </row>
    <row r="74" spans="1:13" ht="15.75">
      <c r="A74" s="34"/>
      <c r="B74" s="228" t="s">
        <v>114</v>
      </c>
      <c r="C74" s="18" t="s">
        <v>37</v>
      </c>
      <c r="D74" s="28">
        <v>1561.4639999999999</v>
      </c>
      <c r="E74" s="34">
        <v>2464.1999999999998</v>
      </c>
      <c r="F74" s="34">
        <f t="shared" si="6"/>
        <v>157.80000000000001</v>
      </c>
      <c r="G74" s="18">
        <f t="shared" si="8"/>
        <v>902.73599999999988</v>
      </c>
      <c r="H74" s="34">
        <v>2106.8629999999998</v>
      </c>
      <c r="I74" s="34">
        <f t="shared" si="7"/>
        <v>117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14842.255999999999</v>
      </c>
      <c r="E75" s="18">
        <f>13692.845</f>
        <v>13692.844999999999</v>
      </c>
      <c r="F75" s="18">
        <f t="shared" si="6"/>
        <v>92.3</v>
      </c>
      <c r="G75" s="18">
        <f t="shared" si="8"/>
        <v>-1149.4110000000001</v>
      </c>
      <c r="H75" s="18">
        <v>12520.963</v>
      </c>
      <c r="I75" s="18">
        <f t="shared" si="7"/>
        <v>109.4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f>24615.187-1577.2</f>
        <v>23037.987000000001</v>
      </c>
      <c r="E76" s="18">
        <v>33538.938000000002</v>
      </c>
      <c r="F76" s="18">
        <f t="shared" si="6"/>
        <v>145.6</v>
      </c>
      <c r="G76" s="18">
        <f t="shared" si="8"/>
        <v>10500.951000000001</v>
      </c>
      <c r="H76" s="18">
        <v>31246.915000000001</v>
      </c>
      <c r="I76" s="18">
        <f t="shared" si="7"/>
        <v>107.3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18">
        <f>2311.459+2396.538</f>
        <v>4707.9969999999994</v>
      </c>
      <c r="F77" s="18"/>
      <c r="G77" s="18">
        <f t="shared" si="8"/>
        <v>4707.9969999999994</v>
      </c>
      <c r="H77" s="18">
        <v>0</v>
      </c>
      <c r="I77" s="18" t="e">
        <f t="shared" si="7"/>
        <v>#DIV/0!</v>
      </c>
      <c r="J77" t="s">
        <v>103</v>
      </c>
    </row>
    <row r="78" spans="1:13" ht="15.75">
      <c r="A78" s="34"/>
      <c r="B78" s="220" t="s">
        <v>118</v>
      </c>
      <c r="C78" s="18" t="s">
        <v>37</v>
      </c>
      <c r="D78" s="28">
        <v>15000</v>
      </c>
      <c r="E78" s="18">
        <f>33767.406</f>
        <v>33767.406000000003</v>
      </c>
      <c r="F78" s="18">
        <f t="shared" si="6"/>
        <v>225.1</v>
      </c>
      <c r="G78" s="18">
        <f t="shared" si="8"/>
        <v>18767.406000000003</v>
      </c>
      <c r="H78" s="18">
        <v>58384.909</v>
      </c>
      <c r="I78" s="18">
        <f t="shared" si="7"/>
        <v>57.8</v>
      </c>
      <c r="J78" t="s">
        <v>103</v>
      </c>
    </row>
    <row r="79" spans="1:13" ht="15.75" hidden="1" outlineLevel="1">
      <c r="A79" s="34"/>
      <c r="B79" s="220" t="s">
        <v>119</v>
      </c>
      <c r="C79" s="18" t="s">
        <v>37</v>
      </c>
      <c r="D79" s="33"/>
      <c r="E79" s="34"/>
      <c r="F79" s="18" t="e">
        <f t="shared" si="6"/>
        <v>#DIV/0!</v>
      </c>
      <c r="G79" s="18">
        <f t="shared" si="8"/>
        <v>0</v>
      </c>
      <c r="H79" s="58"/>
      <c r="I79" s="18" t="e">
        <f t="shared" si="7"/>
        <v>#DIV/0!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6"/>
        <v>#DIV/0!</v>
      </c>
      <c r="G80" s="18">
        <f t="shared" si="8"/>
        <v>0</v>
      </c>
      <c r="H80" s="58"/>
      <c r="I80" s="18" t="e">
        <f t="shared" si="7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6"/>
        <v>#DIV/0!</v>
      </c>
      <c r="G81" s="18">
        <f t="shared" si="8"/>
        <v>0</v>
      </c>
      <c r="H81" s="58"/>
      <c r="I81" s="18" t="e">
        <f t="shared" si="7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6"/>
        <v>#DIV/0!</v>
      </c>
      <c r="G82" s="18">
        <f t="shared" si="8"/>
        <v>0</v>
      </c>
      <c r="H82" s="58"/>
      <c r="I82" s="18" t="e">
        <f t="shared" si="7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6"/>
        <v>#DIV/0!</v>
      </c>
      <c r="G83" s="18">
        <f t="shared" si="8"/>
        <v>0</v>
      </c>
      <c r="H83" s="58"/>
      <c r="I83" s="18" t="e">
        <f t="shared" si="7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6"/>
        <v>#DIV/0!</v>
      </c>
      <c r="G84" s="18">
        <f t="shared" si="8"/>
        <v>0</v>
      </c>
      <c r="H84" s="58"/>
      <c r="I84" s="18" t="e">
        <f t="shared" si="7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6"/>
        <v>#DIV/0!</v>
      </c>
      <c r="G85" s="18">
        <f t="shared" si="8"/>
        <v>0</v>
      </c>
      <c r="H85" s="58"/>
      <c r="I85" s="18" t="e">
        <f t="shared" si="7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6"/>
        <v>#DIV/0!</v>
      </c>
      <c r="G86" s="18">
        <f t="shared" si="8"/>
        <v>0</v>
      </c>
      <c r="H86" s="58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6"/>
        <v>#DIV/0!</v>
      </c>
      <c r="G87" s="18">
        <f t="shared" si="8"/>
        <v>0</v>
      </c>
      <c r="H87" s="58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6"/>
        <v>#DIV/0!</v>
      </c>
      <c r="G88" s="18">
        <f t="shared" si="8"/>
        <v>0</v>
      </c>
      <c r="H88" s="58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D72-D73+D77-D78</f>
        <v>-6291.8609999999826</v>
      </c>
      <c r="E89" s="6">
        <f>E72-E73+E77-E78</f>
        <v>-20370.245999999996</v>
      </c>
      <c r="F89" s="6">
        <f t="shared" si="6"/>
        <v>323.8</v>
      </c>
      <c r="G89" s="6">
        <f t="shared" si="8"/>
        <v>-14078.385000000013</v>
      </c>
      <c r="H89" s="62">
        <f>H72-H73+H77-H78</f>
        <v>-23347.908000000003</v>
      </c>
      <c r="I89" s="6">
        <f t="shared" ref="I89:I96" si="9">ROUND(E89/H89*100,1)</f>
        <v>87.2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 t="s">
        <v>73</v>
      </c>
      <c r="E90" s="195">
        <v>0</v>
      </c>
      <c r="F90" s="195">
        <v>0</v>
      </c>
      <c r="G90" s="195">
        <v>0</v>
      </c>
      <c r="H90" s="195">
        <v>0</v>
      </c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8"/>
        <v>-15.822778173897415</v>
      </c>
      <c r="H91" s="34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-6291.8609999999826</v>
      </c>
      <c r="E92" s="34">
        <f>E89</f>
        <v>-20370.245999999996</v>
      </c>
      <c r="F92" s="18">
        <f t="shared" si="6"/>
        <v>323.8</v>
      </c>
      <c r="G92" s="18">
        <f t="shared" si="8"/>
        <v>-14078.385000000013</v>
      </c>
      <c r="H92" s="34">
        <f>H89</f>
        <v>-23347.908000000003</v>
      </c>
      <c r="I92" s="18">
        <f t="shared" si="9"/>
        <v>87.2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v>0</v>
      </c>
      <c r="E93" s="195">
        <v>0</v>
      </c>
      <c r="F93" s="195">
        <v>0</v>
      </c>
      <c r="G93" s="195">
        <v>0</v>
      </c>
      <c r="H93" s="195">
        <v>0</v>
      </c>
      <c r="I93" s="195">
        <v>0</v>
      </c>
      <c r="J93" t="s">
        <v>103</v>
      </c>
    </row>
    <row r="94" spans="1:10" ht="15.75" hidden="1" outlineLevel="1">
      <c r="A94" s="34"/>
      <c r="B94" s="220" t="s">
        <v>130</v>
      </c>
      <c r="C94" s="18" t="s">
        <v>37</v>
      </c>
      <c r="D94" s="33"/>
      <c r="E94" s="34"/>
      <c r="F94" s="18" t="e">
        <f t="shared" si="6"/>
        <v>#DIV/0!</v>
      </c>
      <c r="G94" s="18">
        <f t="shared" si="8"/>
        <v>0</v>
      </c>
      <c r="H94" s="34"/>
      <c r="I94" s="18" t="e">
        <f t="shared" si="9"/>
        <v>#DIV/0!</v>
      </c>
      <c r="J94" t="s">
        <v>103</v>
      </c>
    </row>
    <row r="95" spans="1:10" ht="15.75" hidden="1" outlineLevel="2">
      <c r="A95" s="34"/>
      <c r="B95" s="220" t="s">
        <v>131</v>
      </c>
      <c r="C95" s="18" t="s">
        <v>37</v>
      </c>
      <c r="D95" s="33"/>
      <c r="E95" s="34"/>
      <c r="F95" s="18" t="e">
        <f t="shared" si="6"/>
        <v>#DIV/0!</v>
      </c>
      <c r="G95" s="18">
        <f t="shared" si="8"/>
        <v>0</v>
      </c>
      <c r="H95" s="34"/>
      <c r="I95" s="18" t="e">
        <f t="shared" si="9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-6291.8609999999826</v>
      </c>
      <c r="E96" s="34">
        <f>E92</f>
        <v>-20370.245999999996</v>
      </c>
      <c r="F96" s="18">
        <f t="shared" si="6"/>
        <v>323.8</v>
      </c>
      <c r="G96" s="18">
        <f t="shared" si="8"/>
        <v>-14078.385000000013</v>
      </c>
      <c r="H96" s="34">
        <f>H92</f>
        <v>-23347.908000000003</v>
      </c>
      <c r="I96" s="18">
        <f t="shared" si="9"/>
        <v>87.2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34" t="s">
        <v>136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0</v>
      </c>
      <c r="E102" s="6">
        <f>E103+E106</f>
        <v>16956.987000000001</v>
      </c>
      <c r="F102" s="6"/>
      <c r="G102" s="6">
        <f>E102-D102</f>
        <v>16956.987000000001</v>
      </c>
      <c r="H102" s="6">
        <f>H103+H106</f>
        <v>23386.966</v>
      </c>
      <c r="I102" s="6">
        <f>ROUND(E102/H102*100,1)</f>
        <v>72.5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0</v>
      </c>
      <c r="E103" s="195">
        <v>0</v>
      </c>
      <c r="F103" s="195">
        <v>0</v>
      </c>
      <c r="G103" s="195">
        <v>0</v>
      </c>
      <c r="H103" s="195">
        <v>0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0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/>
      <c r="E106" s="18">
        <v>16956.987000000001</v>
      </c>
      <c r="F106" s="18">
        <v>0</v>
      </c>
      <c r="G106" s="34">
        <f t="shared" si="10"/>
        <v>16956.987000000001</v>
      </c>
      <c r="H106" s="18">
        <v>23386.966</v>
      </c>
      <c r="I106" s="18">
        <f>ROUND(E106/H106*100,1)</f>
        <v>72.5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13376.973</v>
      </c>
      <c r="E107" s="6">
        <f>SUM(E108:E112)</f>
        <v>21972.503000000001</v>
      </c>
      <c r="F107" s="6">
        <f>ROUND(E107/D107*100,1)</f>
        <v>164.3</v>
      </c>
      <c r="G107" s="6">
        <f t="shared" si="10"/>
        <v>8595.5300000000007</v>
      </c>
      <c r="H107" s="6">
        <f>SUM(H108:H112)</f>
        <v>14185.156999999999</v>
      </c>
      <c r="I107" s="6">
        <f>IF(H107&gt;0,ROUND(E107/H107*100,1),0)</f>
        <v>154.9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/>
      <c r="E108" s="34">
        <v>9434.9830000000002</v>
      </c>
      <c r="F108" s="6"/>
      <c r="G108" s="18">
        <f t="shared" si="10"/>
        <v>9434.9830000000002</v>
      </c>
      <c r="H108" s="18">
        <v>2410.4119999999998</v>
      </c>
      <c r="I108" s="6">
        <f>IF(H108&gt;0,ROUND(E108/H108*100,1),0)</f>
        <v>391.4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741.84100000000001</v>
      </c>
      <c r="E109" s="34">
        <v>491.036</v>
      </c>
      <c r="F109" s="18">
        <f>ROUND(E109/D109*100,1)</f>
        <v>66.2</v>
      </c>
      <c r="G109" s="18">
        <f t="shared" si="10"/>
        <v>-250.80500000000001</v>
      </c>
      <c r="H109" s="34">
        <v>534.05899999999997</v>
      </c>
      <c r="I109" s="34">
        <f>ROUND(E109/H109*100,1)</f>
        <v>91.9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251.61699999999999</v>
      </c>
      <c r="E110" s="34">
        <v>251.14400000000001</v>
      </c>
      <c r="F110" s="18">
        <f>ROUND(E110/D110*100,1)</f>
        <v>99.8</v>
      </c>
      <c r="G110" s="18">
        <f t="shared" si="10"/>
        <v>-0.47299999999998477</v>
      </c>
      <c r="H110" s="34">
        <v>218.227</v>
      </c>
      <c r="I110" s="34">
        <f>ROUND(E110/H110*100,1)</f>
        <v>115.1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2500.2649999999999</v>
      </c>
      <c r="E111" s="34">
        <v>3894.5329999999999</v>
      </c>
      <c r="F111" s="18">
        <f>ROUND(E111/D111*100,1)</f>
        <v>155.80000000000001</v>
      </c>
      <c r="G111" s="18">
        <f t="shared" si="10"/>
        <v>1394.268</v>
      </c>
      <c r="H111" s="34">
        <v>2686.0720000000001</v>
      </c>
      <c r="I111" s="34">
        <f>ROUND(E111/H111*100,1)</f>
        <v>145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9883.25</v>
      </c>
      <c r="E112" s="34">
        <v>7900.8069999999998</v>
      </c>
      <c r="F112" s="18">
        <f>ROUND(E112/D112*100,1)</f>
        <v>79.900000000000006</v>
      </c>
      <c r="G112" s="18">
        <f t="shared" si="10"/>
        <v>-1982.4430000000002</v>
      </c>
      <c r="H112" s="34">
        <v>8336.3870000000006</v>
      </c>
      <c r="I112" s="34">
        <f>ROUND(E112/H112*100,1)</f>
        <v>94.8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15857.519</v>
      </c>
      <c r="E113" s="6">
        <f>SUM(E115:E120)</f>
        <v>9304.2360000000008</v>
      </c>
      <c r="F113" s="6">
        <f>ROUND(E113/D113*100,1)</f>
        <v>58.7</v>
      </c>
      <c r="G113" s="6">
        <f t="shared" si="10"/>
        <v>-6553.2829999999994</v>
      </c>
      <c r="H113" s="6">
        <f>SUM(H115:H120)</f>
        <v>10366.354000000001</v>
      </c>
      <c r="I113" s="6">
        <f>ROUND(E113/H113*100,1)</f>
        <v>89.8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1" si="11">E115-D115</f>
        <v>0</v>
      </c>
      <c r="H115" s="18"/>
      <c r="I115" s="18" t="e">
        <f t="shared" ref="I115:I121" si="12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1"/>
        <v>0</v>
      </c>
      <c r="H116" s="18"/>
      <c r="I116" s="18" t="e">
        <f t="shared" si="12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f>D61*12%</f>
        <v>8918.1239999999998</v>
      </c>
      <c r="E117" s="18">
        <v>9038.5360000000001</v>
      </c>
      <c r="F117" s="18">
        <f>ROUND(E117/D117*100,1)</f>
        <v>101.4</v>
      </c>
      <c r="G117" s="18">
        <f t="shared" si="11"/>
        <v>120.41200000000026</v>
      </c>
      <c r="H117" s="18">
        <v>9442.1360000000004</v>
      </c>
      <c r="I117" s="18">
        <f t="shared" si="12"/>
        <v>95.7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993.97900000000004</v>
      </c>
      <c r="E118" s="35">
        <v>265.7</v>
      </c>
      <c r="F118" s="18">
        <f>ROUND(E118/D118*100,1)</f>
        <v>26.7</v>
      </c>
      <c r="G118" s="35">
        <f t="shared" si="11"/>
        <v>-728.279</v>
      </c>
      <c r="H118" s="35">
        <f>724+200.218</f>
        <v>924.21799999999996</v>
      </c>
      <c r="I118" s="18">
        <f t="shared" si="12"/>
        <v>28.7</v>
      </c>
      <c r="J118" s="11" t="s">
        <v>139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1"/>
        <v>0</v>
      </c>
      <c r="H119" s="18"/>
      <c r="I119" s="18" t="e">
        <f t="shared" si="12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5945.4160000000002</v>
      </c>
      <c r="E120" s="18"/>
      <c r="F120" s="18">
        <f>ROUND(E120/D120*100,1)</f>
        <v>0</v>
      </c>
      <c r="G120" s="18">
        <f t="shared" si="11"/>
        <v>-5945.4160000000002</v>
      </c>
      <c r="H120" s="18"/>
      <c r="I120" s="18" t="e">
        <f t="shared" si="12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29234.491999999998</v>
      </c>
      <c r="E121" s="6">
        <f>E102+E113+E107</f>
        <v>48233.726000000002</v>
      </c>
      <c r="F121" s="6">
        <f>ROUND(E121/D121*100,1)</f>
        <v>165</v>
      </c>
      <c r="G121" s="6">
        <f t="shared" si="11"/>
        <v>18999.234000000004</v>
      </c>
      <c r="H121" s="6">
        <f>H102+H113+H107</f>
        <v>47938.476999999999</v>
      </c>
      <c r="I121" s="6">
        <f t="shared" si="12"/>
        <v>100.6</v>
      </c>
      <c r="J121" s="11" t="s">
        <v>139</v>
      </c>
    </row>
    <row r="122" spans="1:13" ht="15.75">
      <c r="A122" s="34" t="s">
        <v>157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 collapsed="1">
      <c r="A125" s="34" t="s">
        <v>161</v>
      </c>
      <c r="B125" s="227" t="s">
        <v>162</v>
      </c>
      <c r="C125" s="18" t="s">
        <v>37</v>
      </c>
      <c r="D125" s="6">
        <f>SUM(D127:D130)</f>
        <v>258234.31800000003</v>
      </c>
      <c r="E125" s="6">
        <f>SUM(E127:E130)</f>
        <v>180595.984</v>
      </c>
      <c r="F125" s="6">
        <f t="shared" ref="F125:F130" si="13">ROUND(E125/D125*100,1)</f>
        <v>69.900000000000006</v>
      </c>
      <c r="G125" s="6">
        <f t="shared" ref="G125:G151" si="14">E125-D125</f>
        <v>-77638.334000000032</v>
      </c>
      <c r="H125" s="6">
        <f>SUM(H127:H130)</f>
        <v>173771.31799999997</v>
      </c>
      <c r="I125" s="6">
        <f>ROUND(E125/H125*100,1)</f>
        <v>103.9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4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153255.397</v>
      </c>
      <c r="E127" s="18">
        <v>82471.990999999995</v>
      </c>
      <c r="F127" s="18">
        <f t="shared" si="13"/>
        <v>53.8</v>
      </c>
      <c r="G127" s="18">
        <f t="shared" si="14"/>
        <v>-70783.406000000003</v>
      </c>
      <c r="H127" s="18">
        <v>80078.22</v>
      </c>
      <c r="I127" s="18">
        <f>ROUND(E127/H127*100,1)</f>
        <v>103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v>63182.485999999997</v>
      </c>
      <c r="E128" s="18">
        <v>56062.775999999998</v>
      </c>
      <c r="F128" s="18">
        <f t="shared" si="13"/>
        <v>88.7</v>
      </c>
      <c r="G128" s="18">
        <f t="shared" si="14"/>
        <v>-7119.7099999999991</v>
      </c>
      <c r="H128" s="18">
        <f>47750.023+5729.866</f>
        <v>53479.889000000003</v>
      </c>
      <c r="I128" s="18">
        <f>ROUND(E128/H128*100,1)</f>
        <v>104.8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34226.338000000003</v>
      </c>
      <c r="E129" s="18">
        <v>34056.201000000001</v>
      </c>
      <c r="F129" s="18">
        <f t="shared" si="13"/>
        <v>99.5</v>
      </c>
      <c r="G129" s="18">
        <f t="shared" si="14"/>
        <v>-170.13700000000244</v>
      </c>
      <c r="H129" s="18">
        <v>34366.224000000002</v>
      </c>
      <c r="I129" s="18">
        <f>ROUND(E129/H129*100,1)</f>
        <v>99.1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7570.0969999999998</v>
      </c>
      <c r="E130" s="18">
        <v>8005.0159999999996</v>
      </c>
      <c r="F130" s="18">
        <f t="shared" si="13"/>
        <v>105.7</v>
      </c>
      <c r="G130" s="18">
        <f t="shared" si="14"/>
        <v>434.91899999999987</v>
      </c>
      <c r="H130" s="18">
        <v>5846.9849999999997</v>
      </c>
      <c r="I130" s="18">
        <f>ROUND(E130/H130*100,1)</f>
        <v>136.9</v>
      </c>
      <c r="J130" s="11" t="s">
        <v>139</v>
      </c>
    </row>
    <row r="131" spans="1:13" ht="23.25" customHeight="1">
      <c r="A131" s="18" t="s">
        <v>168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6">
        <v>2400546</v>
      </c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4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34">
        <v>1660331.115</v>
      </c>
      <c r="F133" s="34"/>
      <c r="G133" s="34">
        <f t="shared" si="14"/>
        <v>1660331.115</v>
      </c>
      <c r="H133" s="34">
        <v>1826055</v>
      </c>
      <c r="I133" s="34">
        <f>IF(H133&gt;0,ROUND(E133/H133*100,1),0)</f>
        <v>90.9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4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889457.45900000003</v>
      </c>
      <c r="F135" s="18"/>
      <c r="G135" s="18">
        <f t="shared" si="14"/>
        <v>889457.45900000003</v>
      </c>
      <c r="H135" s="18">
        <v>1005675</v>
      </c>
      <c r="I135" s="18">
        <f t="shared" ref="I135:I143" si="15">IF(H135&gt;0,ROUND(E135/H135*100,1),0)</f>
        <v>88.4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487.26600000000002</v>
      </c>
      <c r="F136" s="18"/>
      <c r="G136" s="18">
        <f t="shared" si="14"/>
        <v>487.26600000000002</v>
      </c>
      <c r="H136" s="18">
        <v>802</v>
      </c>
      <c r="I136" s="18">
        <f t="shared" si="15"/>
        <v>60.8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v>680208.554</v>
      </c>
      <c r="F137" s="18"/>
      <c r="G137" s="18">
        <f t="shared" si="14"/>
        <v>680208.554</v>
      </c>
      <c r="H137" s="18">
        <v>574490</v>
      </c>
      <c r="I137" s="18">
        <f t="shared" si="15"/>
        <v>118.4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4"/>
        <v>0</v>
      </c>
      <c r="H138" s="18"/>
      <c r="I138" s="18">
        <f t="shared" si="15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v>139985.43100000001</v>
      </c>
      <c r="F139" s="18"/>
      <c r="G139" s="81">
        <f t="shared" si="14"/>
        <v>139985.43100000001</v>
      </c>
      <c r="H139" s="81">
        <v>165157</v>
      </c>
      <c r="I139" s="18">
        <f t="shared" si="15"/>
        <v>84.8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4"/>
        <v>0</v>
      </c>
      <c r="H140" s="18"/>
      <c r="I140" s="18">
        <f t="shared" si="15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98037.036999999997</v>
      </c>
      <c r="F141" s="18"/>
      <c r="G141" s="18">
        <f t="shared" si="14"/>
        <v>98037.036999999997</v>
      </c>
      <c r="H141" s="18">
        <v>91940</v>
      </c>
      <c r="I141" s="18">
        <f t="shared" si="15"/>
        <v>106.6</v>
      </c>
      <c r="K141" t="s">
        <v>170</v>
      </c>
      <c r="L141" t="s">
        <v>170</v>
      </c>
      <c r="M141" t="s">
        <v>182</v>
      </c>
    </row>
    <row r="142" spans="1:13" ht="15.75">
      <c r="A142" s="34"/>
      <c r="B142" s="228" t="s">
        <v>183</v>
      </c>
      <c r="C142" s="18" t="s">
        <v>37</v>
      </c>
      <c r="D142" s="18"/>
      <c r="E142" s="18">
        <v>35408.074000000001</v>
      </c>
      <c r="F142" s="18"/>
      <c r="G142" s="18">
        <f t="shared" si="14"/>
        <v>35408.074000000001</v>
      </c>
      <c r="H142" s="18">
        <v>62671</v>
      </c>
      <c r="I142" s="18">
        <f t="shared" si="15"/>
        <v>56.5</v>
      </c>
      <c r="K142" t="s">
        <v>170</v>
      </c>
      <c r="L142" t="s">
        <v>170</v>
      </c>
      <c r="M142" t="s">
        <v>184</v>
      </c>
    </row>
    <row r="143" spans="1:13" ht="15.75">
      <c r="A143" s="34"/>
      <c r="B143" s="237" t="s">
        <v>185</v>
      </c>
      <c r="C143" s="18" t="s">
        <v>37</v>
      </c>
      <c r="D143" s="18"/>
      <c r="E143" s="18">
        <v>4297.9799999999996</v>
      </c>
      <c r="F143" s="18"/>
      <c r="G143" s="18">
        <f>E143-D143</f>
        <v>4297.9799999999996</v>
      </c>
      <c r="H143" s="18">
        <v>428</v>
      </c>
      <c r="I143" s="18">
        <f t="shared" si="15"/>
        <v>1004.2</v>
      </c>
      <c r="K143" t="s">
        <v>170</v>
      </c>
      <c r="L143" t="s">
        <v>170</v>
      </c>
      <c r="M143" t="s">
        <v>186</v>
      </c>
    </row>
    <row r="144" spans="1:13" ht="18" customHeight="1">
      <c r="A144" s="34"/>
      <c r="B144" s="34" t="s">
        <v>163</v>
      </c>
      <c r="C144" s="18" t="s">
        <v>37</v>
      </c>
      <c r="D144" s="18"/>
      <c r="E144" s="18"/>
      <c r="F144" s="18"/>
      <c r="G144" s="18">
        <f t="shared" si="14"/>
        <v>0</v>
      </c>
      <c r="H144" s="18"/>
      <c r="I144" s="18"/>
      <c r="K144" t="s">
        <v>170</v>
      </c>
      <c r="L144" t="s">
        <v>170</v>
      </c>
    </row>
    <row r="145" spans="1:12" ht="15.75">
      <c r="A145" s="34"/>
      <c r="B145" s="224" t="s">
        <v>187</v>
      </c>
      <c r="C145" s="18" t="s">
        <v>37</v>
      </c>
      <c r="D145" s="18"/>
      <c r="E145" s="18"/>
      <c r="F145" s="18"/>
      <c r="G145" s="18">
        <f t="shared" si="14"/>
        <v>0</v>
      </c>
      <c r="H145" s="18">
        <v>79</v>
      </c>
      <c r="I145" s="18">
        <f>IF(H145&gt;0,ROUND(E145/H145*100,1),0)</f>
        <v>0</v>
      </c>
      <c r="K145" t="s">
        <v>170</v>
      </c>
    </row>
    <row r="146" spans="1:12" ht="18.75" hidden="1" customHeight="1" outlineLevel="1">
      <c r="A146" s="34" t="s">
        <v>188</v>
      </c>
      <c r="B146" s="220" t="s">
        <v>189</v>
      </c>
      <c r="C146" s="18" t="s">
        <v>37</v>
      </c>
      <c r="D146" s="18"/>
      <c r="E146" s="18"/>
      <c r="F146" s="18"/>
      <c r="G146" s="18">
        <f>E146-D146</f>
        <v>0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34">
        <v>30</v>
      </c>
      <c r="B147" s="220" t="s">
        <v>190</v>
      </c>
      <c r="C147" s="18" t="s">
        <v>37</v>
      </c>
      <c r="D147" s="18"/>
      <c r="E147" s="18">
        <v>430126.7</v>
      </c>
      <c r="F147" s="18"/>
      <c r="G147" s="18">
        <f>E147-D147</f>
        <v>430126.7</v>
      </c>
      <c r="H147" s="18">
        <v>240541</v>
      </c>
      <c r="I147" s="18">
        <f>ROUND(E147/H147*100,1)</f>
        <v>178.8</v>
      </c>
      <c r="K147" t="s">
        <v>170</v>
      </c>
      <c r="L147" t="s">
        <v>191</v>
      </c>
    </row>
    <row r="148" spans="1:12" ht="15.75" hidden="1" outlineLevel="1">
      <c r="A148" s="34"/>
      <c r="B148" s="34" t="s">
        <v>12</v>
      </c>
      <c r="C148" s="18" t="s">
        <v>37</v>
      </c>
      <c r="D148" s="18"/>
      <c r="E148" s="18"/>
      <c r="F148" s="18"/>
      <c r="G148" s="18">
        <f t="shared" si="14"/>
        <v>0</v>
      </c>
      <c r="H148" s="18"/>
      <c r="I148" s="18"/>
      <c r="K148" t="s">
        <v>170</v>
      </c>
    </row>
    <row r="149" spans="1:12" ht="15.75" hidden="1" outlineLevel="1">
      <c r="A149" s="34"/>
      <c r="B149" s="220" t="s">
        <v>192</v>
      </c>
      <c r="C149" s="18" t="s">
        <v>37</v>
      </c>
      <c r="D149" s="18"/>
      <c r="E149" s="18"/>
      <c r="F149" s="18"/>
      <c r="G149" s="18">
        <f t="shared" si="14"/>
        <v>0</v>
      </c>
      <c r="H149" s="18"/>
      <c r="I149" s="18"/>
      <c r="K149" t="s">
        <v>170</v>
      </c>
    </row>
    <row r="150" spans="1:12" ht="15.75" hidden="1" outlineLevel="1">
      <c r="A150" s="34"/>
      <c r="B150" s="220" t="s">
        <v>193</v>
      </c>
      <c r="C150" s="18" t="s">
        <v>37</v>
      </c>
      <c r="D150" s="18"/>
      <c r="E150" s="18"/>
      <c r="F150" s="18"/>
      <c r="G150" s="18">
        <f t="shared" si="14"/>
        <v>0</v>
      </c>
      <c r="H150" s="18"/>
      <c r="I150" s="18" t="e">
        <f>ROUND(E150/H150*100,1)</f>
        <v>#DIV/0!</v>
      </c>
      <c r="K150" t="s">
        <v>170</v>
      </c>
    </row>
    <row r="151" spans="1:12" ht="15.75" collapsed="1">
      <c r="A151" s="34">
        <v>31</v>
      </c>
      <c r="B151" s="220" t="s">
        <v>194</v>
      </c>
      <c r="C151" s="18" t="s">
        <v>37</v>
      </c>
      <c r="D151" s="18"/>
      <c r="E151" s="18">
        <v>327193.59999999998</v>
      </c>
      <c r="F151" s="18"/>
      <c r="G151" s="18">
        <f t="shared" si="14"/>
        <v>327193.59999999998</v>
      </c>
      <c r="H151" s="18">
        <v>365658</v>
      </c>
      <c r="I151" s="18">
        <f>ROUND(E151/H151*100,1)</f>
        <v>89.5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40"/>
      <c r="F152" s="40"/>
      <c r="G152" s="40"/>
      <c r="H152" s="41"/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40"/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40"/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40"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40"/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ht="48.75" customHeight="1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'[2]2019'!$G$164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'[3]2019'!B168</f>
        <v>Начальник ОЭАиП</v>
      </c>
      <c r="C166" s="46"/>
      <c r="D166" s="46"/>
      <c r="E166" s="46"/>
      <c r="F166" s="48"/>
      <c r="G166" s="46" t="s">
        <v>251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B169" s="207" t="s">
        <v>243</v>
      </c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0"/>
  <sheetViews>
    <sheetView showZeros="0" view="pageBreakPreview" zoomScale="90" zoomScaleNormal="100" zoomScaleSheetLayoutView="90" workbookViewId="0">
      <pane ySplit="3" topLeftCell="A159" activePane="bottomLeft" state="frozen"/>
      <selection activeCell="S5" sqref="S5"/>
      <selection pane="bottomLeft" activeCell="E163" sqref="E163"/>
    </sheetView>
  </sheetViews>
  <sheetFormatPr defaultRowHeight="12.75" outlineLevelRow="2" outlineLevelCol="1"/>
  <cols>
    <col min="1" max="1" width="6.14062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8.7109375" hidden="1" customWidth="1" outlineLevel="1"/>
    <col min="11" max="11" width="13.28515625" hidden="1" customWidth="1" outlineLevel="1"/>
    <col min="12" max="12" width="12.42578125" hidden="1" customWidth="1" outlineLevel="1"/>
    <col min="13" max="13" width="13.5703125" hidden="1" customWidth="1" outlineLevel="1"/>
    <col min="14" max="14" width="12" hidden="1" customWidth="1" outlineLevel="1"/>
    <col min="15" max="15" width="9.140625" collapsed="1"/>
  </cols>
  <sheetData>
    <row r="1" spans="1:10" ht="48" customHeight="1">
      <c r="A1" s="282" t="s">
        <v>294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295</v>
      </c>
      <c r="E2" s="289"/>
      <c r="F2" s="289"/>
      <c r="G2" s="289"/>
      <c r="H2" s="290" t="s">
        <v>292</v>
      </c>
      <c r="I2" s="288" t="s">
        <v>3</v>
      </c>
    </row>
    <row r="3" spans="1:10" ht="22.5" customHeight="1">
      <c r="A3" s="286"/>
      <c r="B3" s="287"/>
      <c r="C3" s="287"/>
      <c r="D3" s="239" t="s">
        <v>4</v>
      </c>
      <c r="E3" s="238" t="s">
        <v>5</v>
      </c>
      <c r="F3" s="238" t="s">
        <v>6</v>
      </c>
      <c r="G3" s="238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41">
        <f>D7+D8+D9</f>
        <v>2833</v>
      </c>
      <c r="E5" s="241">
        <f>E7+E8+E9</f>
        <v>2770.8480000000004</v>
      </c>
      <c r="F5" s="241">
        <f>ROUND(E5/D5*100,1)</f>
        <v>97.8</v>
      </c>
      <c r="G5" s="241">
        <f>E5-D5</f>
        <v>-62.151999999999589</v>
      </c>
      <c r="H5" s="6">
        <v>2374.3579999999997</v>
      </c>
      <c r="I5" s="6">
        <f>IF(H5&gt;0,ROUND(E5/H5*100,1),0)</f>
        <v>116.7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/>
      <c r="I6" s="7"/>
    </row>
    <row r="7" spans="1:10" ht="15.75">
      <c r="A7" s="7"/>
      <c r="B7" s="218" t="s">
        <v>13</v>
      </c>
      <c r="C7" s="7" t="s">
        <v>11</v>
      </c>
      <c r="D7" s="34">
        <v>2451.8000000000002</v>
      </c>
      <c r="E7" s="34">
        <v>2485.2710000000002</v>
      </c>
      <c r="F7" s="34">
        <f>ROUND(E7/D7*100,1)</f>
        <v>101.4</v>
      </c>
      <c r="G7" s="34">
        <f>E7-D7</f>
        <v>33.471000000000004</v>
      </c>
      <c r="H7" s="34">
        <v>2130.2739999999999</v>
      </c>
      <c r="I7" s="9">
        <f>IF(H7&gt;0,ROUND(E7/H7*100,1),0)</f>
        <v>116.7</v>
      </c>
    </row>
    <row r="8" spans="1:10" ht="15.75">
      <c r="A8" s="7"/>
      <c r="B8" s="218" t="s">
        <v>14</v>
      </c>
      <c r="C8" s="7" t="s">
        <v>11</v>
      </c>
      <c r="D8" s="34">
        <v>29.2</v>
      </c>
      <c r="E8" s="34">
        <v>30.228000000000002</v>
      </c>
      <c r="F8" s="34">
        <f>ROUND(E8/D8*100,1)</f>
        <v>103.5</v>
      </c>
      <c r="G8" s="34">
        <f>E8-D8</f>
        <v>1.0280000000000022</v>
      </c>
      <c r="H8" s="34">
        <v>30.81</v>
      </c>
      <c r="I8" s="9">
        <f>IF(H8&gt;0,ROUND(E8/H8*100,1),0)</f>
        <v>98.1</v>
      </c>
    </row>
    <row r="9" spans="1:10" ht="15.75">
      <c r="A9" s="7"/>
      <c r="B9" s="218" t="s">
        <v>15</v>
      </c>
      <c r="C9" s="7" t="s">
        <v>11</v>
      </c>
      <c r="D9" s="34">
        <v>352</v>
      </c>
      <c r="E9" s="34">
        <v>255.34899999999999</v>
      </c>
      <c r="F9" s="34">
        <f>ROUND(E9/D9*100,1)</f>
        <v>72.5</v>
      </c>
      <c r="G9" s="34">
        <f>E9-D9</f>
        <v>-96.65100000000001</v>
      </c>
      <c r="H9" s="34">
        <v>213.274</v>
      </c>
      <c r="I9" s="9">
        <f>IF(H9&gt;0,ROUND(E9/H9*100,1),0)</f>
        <v>119.7</v>
      </c>
    </row>
    <row r="10" spans="1:10" ht="15.75">
      <c r="A10" s="7" t="s">
        <v>16</v>
      </c>
      <c r="B10" s="217" t="s">
        <v>17</v>
      </c>
      <c r="C10" s="240" t="s">
        <v>11</v>
      </c>
      <c r="D10" s="6">
        <f>D12+D13</f>
        <v>409</v>
      </c>
      <c r="E10" s="6">
        <f>E12+E13</f>
        <v>240.39099999999999</v>
      </c>
      <c r="F10" s="241">
        <f>ROUND(E10/D10*100,1)</f>
        <v>58.8</v>
      </c>
      <c r="G10" s="241">
        <f>E10-D10</f>
        <v>-168.60900000000001</v>
      </c>
      <c r="H10" s="6">
        <v>178.42099999999999</v>
      </c>
      <c r="I10" s="240">
        <f t="shared" ref="I10:I28" si="0">IF(H10&gt;0,ROUND(E10/H10*100,1),0)</f>
        <v>134.69999999999999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235</v>
      </c>
      <c r="E12" s="34">
        <v>158.59299999999999</v>
      </c>
      <c r="F12" s="34">
        <f>ROUND(E12/D12*100,1)</f>
        <v>67.5</v>
      </c>
      <c r="G12" s="34">
        <f>E12-D12</f>
        <v>-76.407000000000011</v>
      </c>
      <c r="H12" s="34">
        <v>64.120999999999995</v>
      </c>
      <c r="I12" s="9">
        <f t="shared" si="0"/>
        <v>247.3</v>
      </c>
    </row>
    <row r="13" spans="1:10" ht="15.75">
      <c r="A13" s="7"/>
      <c r="B13" s="218" t="s">
        <v>19</v>
      </c>
      <c r="C13" s="7" t="s">
        <v>11</v>
      </c>
      <c r="D13" s="34">
        <v>174</v>
      </c>
      <c r="E13" s="34">
        <v>81.798000000000002</v>
      </c>
      <c r="F13" s="34">
        <f>ROUND(E13/D13*100,1)</f>
        <v>47</v>
      </c>
      <c r="G13" s="34">
        <f>E13-D13</f>
        <v>-92.201999999999998</v>
      </c>
      <c r="H13" s="34">
        <v>114.3</v>
      </c>
      <c r="I13" s="9">
        <f t="shared" si="0"/>
        <v>71.599999999999994</v>
      </c>
    </row>
    <row r="14" spans="1:10" ht="15.75">
      <c r="A14" s="7" t="s">
        <v>20</v>
      </c>
      <c r="B14" s="217" t="s">
        <v>21</v>
      </c>
      <c r="C14" s="89" t="s">
        <v>11</v>
      </c>
      <c r="D14" s="241">
        <f>D16+D17+D18</f>
        <v>3117</v>
      </c>
      <c r="E14" s="241">
        <f>E16+E17+E18</f>
        <v>2767.9039999999995</v>
      </c>
      <c r="F14" s="241">
        <f>ROUND(E14/D14*100,1)</f>
        <v>88.8</v>
      </c>
      <c r="G14" s="241">
        <f>E14-D14</f>
        <v>-349.09600000000046</v>
      </c>
      <c r="H14" s="6">
        <v>2530.8249999999998</v>
      </c>
      <c r="I14" s="9">
        <f t="shared" si="0"/>
        <v>109.4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2487.8000000000002</v>
      </c>
      <c r="E16" s="34">
        <v>2204.3029999999999</v>
      </c>
      <c r="F16" s="34">
        <f>ROUND(E16/D16*100,1)</f>
        <v>88.6</v>
      </c>
      <c r="G16" s="34">
        <f>E16-D16</f>
        <v>-283.4970000000003</v>
      </c>
      <c r="H16" s="34">
        <v>2202.665</v>
      </c>
      <c r="I16" s="9">
        <f t="shared" si="0"/>
        <v>100.1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29.2</v>
      </c>
      <c r="E17" s="34">
        <v>30.062000000000001</v>
      </c>
      <c r="F17" s="34">
        <f>ROUND(E17/D17*100,1)</f>
        <v>103</v>
      </c>
      <c r="G17" s="34">
        <f>E17-D17</f>
        <v>0.86200000000000188</v>
      </c>
      <c r="H17" s="34">
        <v>30.440999999999999</v>
      </c>
      <c r="I17" s="9">
        <f t="shared" si="0"/>
        <v>98.8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v>600</v>
      </c>
      <c r="E18" s="34">
        <v>533.53899999999999</v>
      </c>
      <c r="F18" s="34">
        <f>ROUND(E18/D18*100,1)</f>
        <v>88.9</v>
      </c>
      <c r="G18" s="34">
        <f>E18-D18</f>
        <v>-66.461000000000013</v>
      </c>
      <c r="H18" s="18">
        <v>297.71899999999999</v>
      </c>
      <c r="I18" s="9">
        <f t="shared" si="0"/>
        <v>179.2</v>
      </c>
    </row>
    <row r="19" spans="1:12" ht="18.75">
      <c r="A19" s="7" t="s">
        <v>23</v>
      </c>
      <c r="B19" s="217" t="s">
        <v>24</v>
      </c>
      <c r="C19" s="89" t="s">
        <v>25</v>
      </c>
      <c r="D19" s="241">
        <f>D21+D22+D23+D24</f>
        <v>21354.400000000001</v>
      </c>
      <c r="E19" s="241">
        <f>E21+E22+E23+E24</f>
        <v>15823.548000000001</v>
      </c>
      <c r="F19" s="241">
        <f>ROUND(E19/D19*100,1)</f>
        <v>74.099999999999994</v>
      </c>
      <c r="G19" s="241">
        <f>E19-D19</f>
        <v>-5530.8520000000008</v>
      </c>
      <c r="H19" s="6">
        <v>11498.636999999999</v>
      </c>
      <c r="I19" s="9">
        <f t="shared" si="0"/>
        <v>137.6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2819.9</v>
      </c>
      <c r="E21" s="34">
        <v>2952.7689999999998</v>
      </c>
      <c r="F21" s="34">
        <f>ROUND(E21/D21*100,1)</f>
        <v>104.7</v>
      </c>
      <c r="G21" s="34">
        <f t="shared" ref="G21:G31" si="1">E21-D21</f>
        <v>132.86899999999969</v>
      </c>
      <c r="H21" s="34">
        <v>2166.614</v>
      </c>
      <c r="I21" s="9">
        <f t="shared" si="0"/>
        <v>136.30000000000001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18534.5</v>
      </c>
      <c r="E22" s="34">
        <v>12870.779</v>
      </c>
      <c r="F22" s="34">
        <f>ROUND(E22/D22*100,1)</f>
        <v>69.400000000000006</v>
      </c>
      <c r="G22" s="34">
        <f t="shared" si="1"/>
        <v>-5663.7209999999995</v>
      </c>
      <c r="H22" s="34">
        <v>9332.0229999999992</v>
      </c>
      <c r="I22" s="9">
        <f t="shared" si="0"/>
        <v>137.9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>
        <v>0</v>
      </c>
      <c r="E24" s="195">
        <v>0</v>
      </c>
      <c r="F24" s="195">
        <v>0</v>
      </c>
      <c r="G24" s="195">
        <v>0</v>
      </c>
      <c r="H24" s="195">
        <v>0</v>
      </c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450</v>
      </c>
      <c r="E25" s="18">
        <v>1292</v>
      </c>
      <c r="F25" s="18">
        <f t="shared" ref="F25:F29" si="2">ROUND(E25/D25*100,1)</f>
        <v>287.10000000000002</v>
      </c>
      <c r="G25" s="18">
        <f t="shared" si="1"/>
        <v>842</v>
      </c>
      <c r="H25" s="18">
        <v>660</v>
      </c>
      <c r="I25" s="9">
        <f t="shared" si="0"/>
        <v>195.8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701046.56099999999</v>
      </c>
      <c r="E26" s="18">
        <v>675176.25899999996</v>
      </c>
      <c r="F26" s="18">
        <f t="shared" si="2"/>
        <v>96.3</v>
      </c>
      <c r="G26" s="18">
        <f t="shared" si="1"/>
        <v>-25870.302000000025</v>
      </c>
      <c r="H26" s="18">
        <v>578821.35400000005</v>
      </c>
      <c r="I26" s="18">
        <f t="shared" si="0"/>
        <v>116.6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319.55399999999997</v>
      </c>
      <c r="E27" s="242">
        <v>0.40799999999999997</v>
      </c>
      <c r="F27" s="18">
        <f t="shared" si="2"/>
        <v>0.1</v>
      </c>
      <c r="G27" s="18">
        <f>E27-D27</f>
        <v>-319.14599999999996</v>
      </c>
      <c r="H27" s="18">
        <v>0.47499999999999998</v>
      </c>
      <c r="I27" s="18">
        <f t="shared" si="0"/>
        <v>85.9</v>
      </c>
      <c r="J27" t="s">
        <v>22</v>
      </c>
      <c r="K27"/>
    </row>
    <row r="28" spans="1:12" ht="31.5">
      <c r="A28" s="7" t="s">
        <v>39</v>
      </c>
      <c r="B28" s="219" t="s">
        <v>225</v>
      </c>
      <c r="C28" s="18" t="s">
        <v>37</v>
      </c>
      <c r="D28" s="18">
        <v>35241.96</v>
      </c>
      <c r="E28" s="18">
        <v>36076.868999999999</v>
      </c>
      <c r="F28" s="18">
        <f t="shared" si="2"/>
        <v>102.4</v>
      </c>
      <c r="G28" s="18">
        <f t="shared" si="1"/>
        <v>834.90899999999965</v>
      </c>
      <c r="H28" s="18">
        <v>28187.588</v>
      </c>
      <c r="I28" s="9">
        <f t="shared" si="0"/>
        <v>128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3035.5</v>
      </c>
      <c r="E29" s="18">
        <v>3217.3</v>
      </c>
      <c r="F29" s="18">
        <f t="shared" si="2"/>
        <v>106</v>
      </c>
      <c r="G29" s="18">
        <f t="shared" si="1"/>
        <v>181.80000000000018</v>
      </c>
      <c r="H29" s="18">
        <v>2982.5</v>
      </c>
      <c r="I29" s="9">
        <f>IF(H29&gt;0,ROUND(E29/H29*100,1),0)</f>
        <v>107.9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47</v>
      </c>
      <c r="B32" s="219" t="s">
        <v>48</v>
      </c>
      <c r="C32" s="18" t="s">
        <v>37</v>
      </c>
      <c r="D32" s="23"/>
      <c r="E32" s="23"/>
      <c r="F32" s="23"/>
      <c r="G32" s="23"/>
      <c r="H32" s="18"/>
      <c r="I32" s="18">
        <f>IF(H32&gt;0,ROUND(E32/H32*100,1),0)</f>
        <v>0</v>
      </c>
    </row>
    <row r="33" spans="1:10" ht="15.75">
      <c r="A33" s="7" t="s">
        <v>49</v>
      </c>
      <c r="B33" s="217" t="s">
        <v>50</v>
      </c>
      <c r="C33" s="18" t="s">
        <v>37</v>
      </c>
      <c r="D33" s="26">
        <f>D35+D39+D40+D41+D42+D43+D45+D44</f>
        <v>90458.961679999993</v>
      </c>
      <c r="E33" s="26">
        <f>E35+E39+E40+E41+E42+E43+E45+E44</f>
        <v>106018.83217299996</v>
      </c>
      <c r="F33" s="26"/>
      <c r="G33" s="26">
        <f t="shared" ref="G33:G44" si="3">E33-D33</f>
        <v>15559.870492999966</v>
      </c>
      <c r="H33" s="26">
        <v>73410.174999999988</v>
      </c>
      <c r="I33" s="26">
        <f>IF(H33&gt;0,ROUND(E33/H33*100,1),0)</f>
        <v>144.4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3"/>
        <v>0</v>
      </c>
      <c r="H34" s="28"/>
      <c r="I34" s="28"/>
    </row>
    <row r="35" spans="1:10" ht="15.75">
      <c r="A35" s="34"/>
      <c r="B35" s="223" t="s">
        <v>53</v>
      </c>
      <c r="C35" s="18" t="s">
        <v>37</v>
      </c>
      <c r="D35" s="27">
        <f>D37+D38</f>
        <v>959.68467999999598</v>
      </c>
      <c r="E35" s="28">
        <f>E37+E38</f>
        <v>720.65049399996337</v>
      </c>
      <c r="F35" s="28"/>
      <c r="G35" s="27">
        <f t="shared" si="3"/>
        <v>-239.03418600003261</v>
      </c>
      <c r="H35" s="28">
        <v>-1936.1500000000087</v>
      </c>
      <c r="I35" s="28">
        <f>IF(H35&gt;0,ROUND(E35/H35*100,1),0)</f>
        <v>0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7"/>
      <c r="E36" s="28"/>
      <c r="F36" s="28"/>
      <c r="G36" s="27"/>
      <c r="H36" s="28"/>
      <c r="I36" s="28"/>
    </row>
    <row r="37" spans="1:10" ht="15.75">
      <c r="A37" s="34"/>
      <c r="B37" s="224" t="s">
        <v>55</v>
      </c>
      <c r="C37" s="18" t="s">
        <v>37</v>
      </c>
      <c r="D37" s="27">
        <f>D96</f>
        <v>959.68467999999598</v>
      </c>
      <c r="E37" s="28">
        <f>E96</f>
        <v>720.65049399996337</v>
      </c>
      <c r="F37" s="28"/>
      <c r="G37" s="27"/>
      <c r="H37" s="28">
        <v>-1936.1500000000087</v>
      </c>
      <c r="I37" s="28"/>
    </row>
    <row r="38" spans="1:10" ht="15.75">
      <c r="A38" s="34"/>
      <c r="B38" s="224" t="s">
        <v>56</v>
      </c>
      <c r="C38" s="18" t="s">
        <v>37</v>
      </c>
      <c r="D38" s="27"/>
      <c r="E38" s="28">
        <v>0</v>
      </c>
      <c r="F38" s="28"/>
      <c r="G38" s="27">
        <f t="shared" si="3"/>
        <v>0</v>
      </c>
      <c r="H38" s="28">
        <v>0</v>
      </c>
      <c r="I38" s="28"/>
    </row>
    <row r="39" spans="1:10" ht="15.75">
      <c r="A39" s="34"/>
      <c r="B39" s="223" t="s">
        <v>57</v>
      </c>
      <c r="C39" s="18" t="s">
        <v>37</v>
      </c>
      <c r="D39" s="27">
        <f>D129</f>
        <v>89499.277000000002</v>
      </c>
      <c r="E39" s="27">
        <f>E129</f>
        <v>105298.181679</v>
      </c>
      <c r="F39" s="28">
        <f t="shared" ref="F39" si="4">ROUND(E39/D39*100,1)</f>
        <v>117.7</v>
      </c>
      <c r="G39" s="27">
        <f t="shared" si="3"/>
        <v>15798.904678999999</v>
      </c>
      <c r="H39" s="27">
        <v>75346.324999999997</v>
      </c>
      <c r="I39" s="28">
        <f>IF(H39&gt;0,ROUND(E39/H39*100,1),0)</f>
        <v>139.80000000000001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3"/>
        <v>0</v>
      </c>
      <c r="H40" s="28"/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3"/>
        <v>0</v>
      </c>
      <c r="H41" s="28"/>
      <c r="I41" s="28">
        <f>IF(H41&gt;0,ROUND(E41/H41*100,1),0)</f>
        <v>0</v>
      </c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3"/>
        <v>0</v>
      </c>
      <c r="H42" s="18"/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3"/>
        <v>0</v>
      </c>
      <c r="H43" s="18"/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3"/>
        <v>0</v>
      </c>
      <c r="H44" s="18"/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18"/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67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76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84</v>
      </c>
      <c r="B59" s="220" t="s">
        <v>85</v>
      </c>
      <c r="C59" s="18" t="s">
        <v>86</v>
      </c>
      <c r="D59" s="28">
        <v>6335</v>
      </c>
      <c r="E59" s="28">
        <v>5634</v>
      </c>
      <c r="F59" s="28">
        <f>ROUND(E59/D59*100,1)</f>
        <v>88.9</v>
      </c>
      <c r="G59" s="28">
        <f>E59-D59</f>
        <v>-701</v>
      </c>
      <c r="H59" s="28">
        <v>5588</v>
      </c>
      <c r="I59" s="28">
        <f t="shared" ref="I59:I64" si="5">IF(H59&gt;0,ROUND(E59/H59*100,1),0)</f>
        <v>100.8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5"/>
        <v>0</v>
      </c>
    </row>
    <row r="61" spans="1:12" ht="15.75" collapsed="1">
      <c r="A61" s="34" t="s">
        <v>91</v>
      </c>
      <c r="B61" s="220" t="s">
        <v>92</v>
      </c>
      <c r="C61" s="18" t="s">
        <v>37</v>
      </c>
      <c r="D61" s="33">
        <v>243445.9</v>
      </c>
      <c r="E61" s="33">
        <v>229710.7</v>
      </c>
      <c r="F61" s="28">
        <f>ROUND(E61/D61*100,1)</f>
        <v>94.4</v>
      </c>
      <c r="G61" s="28">
        <f>E61-D61</f>
        <v>-13735.199999999983</v>
      </c>
      <c r="H61" s="33">
        <v>185240.9</v>
      </c>
      <c r="I61" s="28">
        <f t="shared" si="5"/>
        <v>124</v>
      </c>
      <c r="J61" t="s">
        <v>87</v>
      </c>
    </row>
    <row r="62" spans="1:12" ht="15.75">
      <c r="A62" s="34" t="s">
        <v>93</v>
      </c>
      <c r="B62" s="220" t="s">
        <v>94</v>
      </c>
      <c r="C62" s="18" t="s">
        <v>95</v>
      </c>
      <c r="D62" s="28">
        <v>6404.8</v>
      </c>
      <c r="E62" s="28">
        <v>6770.6</v>
      </c>
      <c r="F62" s="28">
        <f>ROUND(E62/D62*100,1)</f>
        <v>105.7</v>
      </c>
      <c r="G62" s="28">
        <f>E62-D62</f>
        <v>365.80000000000018</v>
      </c>
      <c r="H62" s="28">
        <v>5495</v>
      </c>
      <c r="I62" s="28">
        <f t="shared" si="5"/>
        <v>123.2</v>
      </c>
      <c r="J62" t="s">
        <v>87</v>
      </c>
      <c r="L62">
        <v>563699649</v>
      </c>
    </row>
    <row r="63" spans="1:12" ht="15.75">
      <c r="A63" s="34" t="s">
        <v>96</v>
      </c>
      <c r="B63" s="220" t="s">
        <v>97</v>
      </c>
      <c r="C63" s="18" t="s">
        <v>37</v>
      </c>
      <c r="D63" s="18"/>
      <c r="E63" s="18"/>
      <c r="F63" s="28"/>
      <c r="G63" s="18"/>
      <c r="H63" s="18"/>
      <c r="I63" s="18">
        <f t="shared" si="5"/>
        <v>0</v>
      </c>
      <c r="J63" t="s">
        <v>58</v>
      </c>
      <c r="L63">
        <v>461145397.5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58"/>
      <c r="I64" s="59">
        <f t="shared" si="5"/>
        <v>0</v>
      </c>
      <c r="J64" s="31"/>
    </row>
    <row r="65" spans="1:13" ht="15.75" collapsed="1">
      <c r="A65" s="34" t="s">
        <v>100</v>
      </c>
      <c r="B65" s="220" t="s">
        <v>101</v>
      </c>
      <c r="C65" s="18" t="s">
        <v>102</v>
      </c>
      <c r="D65" s="60">
        <v>308610.18</v>
      </c>
      <c r="E65" s="28">
        <v>250604.20944367663</v>
      </c>
      <c r="F65" s="28">
        <f>ROUND(E65/D65*100,1)</f>
        <v>81.2</v>
      </c>
      <c r="G65" s="28">
        <f>E65-D65</f>
        <v>-58005.970556323358</v>
      </c>
      <c r="H65" s="28">
        <v>220288.85</v>
      </c>
      <c r="I65" s="28">
        <f>ROUND(E65/H65*100,1)</f>
        <v>113.8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107</v>
      </c>
      <c r="B70" s="220" t="s">
        <v>108</v>
      </c>
      <c r="C70" s="18" t="s">
        <v>37</v>
      </c>
      <c r="D70" s="28">
        <v>881750.35499999998</v>
      </c>
      <c r="E70" s="18">
        <f>652712.3+124750.7</f>
        <v>777463</v>
      </c>
      <c r="F70" s="18">
        <f t="shared" ref="F70:F96" si="6">ROUND(E70/D70*100,1)</f>
        <v>88.2</v>
      </c>
      <c r="G70" s="18">
        <f>E70-D70</f>
        <v>-104287.35499999998</v>
      </c>
      <c r="H70" s="18">
        <v>727120.06</v>
      </c>
      <c r="I70" s="18">
        <f t="shared" ref="I70:I85" si="7">ROUND(E70/H70*100,1)</f>
        <v>106.9</v>
      </c>
      <c r="J70" t="s">
        <v>103</v>
      </c>
      <c r="M70">
        <f>1759313-152984-76292-1017231</f>
        <v>512806</v>
      </c>
    </row>
    <row r="71" spans="1:13" ht="15.75">
      <c r="A71" s="34" t="s">
        <v>109</v>
      </c>
      <c r="B71" s="220" t="s">
        <v>110</v>
      </c>
      <c r="C71" s="18" t="s">
        <v>37</v>
      </c>
      <c r="D71" s="28">
        <v>704619.26199999999</v>
      </c>
      <c r="E71" s="18">
        <f>481635.7+124750.7</f>
        <v>606386.4</v>
      </c>
      <c r="F71" s="18">
        <f t="shared" si="6"/>
        <v>86.1</v>
      </c>
      <c r="G71" s="18">
        <f>E71-D71</f>
        <v>-98232.861999999965</v>
      </c>
      <c r="H71" s="18">
        <v>526871.00600000005</v>
      </c>
      <c r="I71" s="18">
        <f t="shared" si="7"/>
        <v>115.1</v>
      </c>
      <c r="J71" t="s">
        <v>103</v>
      </c>
    </row>
    <row r="72" spans="1:13" ht="15.75">
      <c r="A72" s="34" t="s">
        <v>111</v>
      </c>
      <c r="B72" s="220" t="s">
        <v>112</v>
      </c>
      <c r="C72" s="18" t="s">
        <v>37</v>
      </c>
      <c r="D72" s="33">
        <f>D70-D71</f>
        <v>177131.09299999999</v>
      </c>
      <c r="E72" s="33">
        <f>E70-E71</f>
        <v>171076.59999999998</v>
      </c>
      <c r="F72" s="34">
        <f t="shared" si="6"/>
        <v>96.6</v>
      </c>
      <c r="G72" s="18">
        <f>E72-D72</f>
        <v>-6054.4930000000168</v>
      </c>
      <c r="H72" s="34">
        <v>200249.054</v>
      </c>
      <c r="I72" s="34">
        <f t="shared" si="7"/>
        <v>85.4</v>
      </c>
      <c r="J72" t="s">
        <v>103</v>
      </c>
      <c r="M72" s="11">
        <f>D72-D73</f>
        <v>59016.815799999997</v>
      </c>
    </row>
    <row r="73" spans="1:13" ht="15.75">
      <c r="A73" s="34"/>
      <c r="B73" s="227" t="s">
        <v>113</v>
      </c>
      <c r="C73" s="18" t="s">
        <v>37</v>
      </c>
      <c r="D73" s="26">
        <f>D74+D75+D76</f>
        <v>118114.2772</v>
      </c>
      <c r="E73" s="6">
        <f>E74+E75+E76</f>
        <v>135608.26266200002</v>
      </c>
      <c r="F73" s="6">
        <f t="shared" si="6"/>
        <v>114.8</v>
      </c>
      <c r="G73" s="6">
        <f t="shared" ref="G73:G96" si="8">E73-D73</f>
        <v>17493.985462000026</v>
      </c>
      <c r="H73" s="26">
        <v>150839.91200000001</v>
      </c>
      <c r="I73" s="6">
        <f t="shared" si="7"/>
        <v>89.9</v>
      </c>
      <c r="J73" t="s">
        <v>103</v>
      </c>
      <c r="M73" s="11">
        <f>M72+D77</f>
        <v>59016.815799999997</v>
      </c>
    </row>
    <row r="74" spans="1:13" ht="15.75">
      <c r="A74" s="34"/>
      <c r="B74" s="228" t="s">
        <v>114</v>
      </c>
      <c r="C74" s="18" t="s">
        <v>37</v>
      </c>
      <c r="D74" s="28">
        <v>3695.1529999999998</v>
      </c>
      <c r="E74" s="34">
        <v>5901.4327990000002</v>
      </c>
      <c r="F74" s="34">
        <f t="shared" si="6"/>
        <v>159.69999999999999</v>
      </c>
      <c r="G74" s="18">
        <f t="shared" si="8"/>
        <v>2206.2797990000004</v>
      </c>
      <c r="H74" s="34">
        <v>6145.5389999999998</v>
      </c>
      <c r="I74" s="34">
        <f t="shared" si="7"/>
        <v>96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35793.727200000001</v>
      </c>
      <c r="E75" s="34">
        <v>35656.349426000001</v>
      </c>
      <c r="F75" s="18">
        <f t="shared" si="6"/>
        <v>99.6</v>
      </c>
      <c r="G75" s="18">
        <f t="shared" si="8"/>
        <v>-137.3777740000005</v>
      </c>
      <c r="H75" s="18">
        <v>36191.870000000003</v>
      </c>
      <c r="I75" s="18">
        <f t="shared" si="7"/>
        <v>98.5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78625.396999999997</v>
      </c>
      <c r="E76" s="34">
        <v>94050.480437000006</v>
      </c>
      <c r="F76" s="18">
        <f t="shared" si="6"/>
        <v>119.6</v>
      </c>
      <c r="G76" s="18">
        <f t="shared" si="8"/>
        <v>15425.083437000008</v>
      </c>
      <c r="H76" s="18">
        <v>108502.503</v>
      </c>
      <c r="I76" s="18">
        <f t="shared" si="7"/>
        <v>86.7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34">
        <v>23028.918774000002</v>
      </c>
      <c r="F77" s="18"/>
      <c r="G77" s="18">
        <f t="shared" si="8"/>
        <v>23028.918774000002</v>
      </c>
      <c r="H77" s="18">
        <v>6937.2960000000003</v>
      </c>
      <c r="I77" s="18">
        <f t="shared" si="7"/>
        <v>332</v>
      </c>
      <c r="J77" t="s">
        <v>103</v>
      </c>
    </row>
    <row r="78" spans="1:13" ht="21" customHeight="1">
      <c r="A78" s="34"/>
      <c r="B78" s="220" t="s">
        <v>118</v>
      </c>
      <c r="C78" s="18" t="s">
        <v>37</v>
      </c>
      <c r="D78" s="28">
        <v>57887.775000000001</v>
      </c>
      <c r="E78" s="34">
        <f>75786.4-19828.6</f>
        <v>55957.799999999996</v>
      </c>
      <c r="F78" s="18">
        <f t="shared" si="6"/>
        <v>96.7</v>
      </c>
      <c r="G78" s="18">
        <f t="shared" si="8"/>
        <v>-1929.9750000000058</v>
      </c>
      <c r="H78" s="18">
        <v>58282.588000000003</v>
      </c>
      <c r="I78" s="18">
        <f t="shared" si="7"/>
        <v>96</v>
      </c>
      <c r="J78" t="s">
        <v>103</v>
      </c>
    </row>
    <row r="79" spans="1:13" ht="15.75" hidden="1" outlineLevel="1">
      <c r="A79" s="34"/>
      <c r="B79" s="220" t="s">
        <v>119</v>
      </c>
      <c r="C79" s="18" t="s">
        <v>37</v>
      </c>
      <c r="D79" s="33"/>
      <c r="E79" s="34"/>
      <c r="F79" s="18" t="e">
        <f t="shared" si="6"/>
        <v>#DIV/0!</v>
      </c>
      <c r="G79" s="18">
        <f t="shared" si="8"/>
        <v>0</v>
      </c>
      <c r="H79" s="58"/>
      <c r="I79" s="18" t="e">
        <f t="shared" si="7"/>
        <v>#DIV/0!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6"/>
        <v>#DIV/0!</v>
      </c>
      <c r="G80" s="18">
        <f t="shared" si="8"/>
        <v>0</v>
      </c>
      <c r="H80" s="58"/>
      <c r="I80" s="18" t="e">
        <f t="shared" si="7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6"/>
        <v>#DIV/0!</v>
      </c>
      <c r="G81" s="18">
        <f t="shared" si="8"/>
        <v>0</v>
      </c>
      <c r="H81" s="58"/>
      <c r="I81" s="18" t="e">
        <f t="shared" si="7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6"/>
        <v>#DIV/0!</v>
      </c>
      <c r="G82" s="18">
        <f t="shared" si="8"/>
        <v>0</v>
      </c>
      <c r="H82" s="58"/>
      <c r="I82" s="18" t="e">
        <f t="shared" si="7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6"/>
        <v>#DIV/0!</v>
      </c>
      <c r="G83" s="18">
        <f t="shared" si="8"/>
        <v>0</v>
      </c>
      <c r="H83" s="58"/>
      <c r="I83" s="18" t="e">
        <f t="shared" si="7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6"/>
        <v>#DIV/0!</v>
      </c>
      <c r="G84" s="18">
        <f t="shared" si="8"/>
        <v>0</v>
      </c>
      <c r="H84" s="58"/>
      <c r="I84" s="18" t="e">
        <f t="shared" si="7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6"/>
        <v>#DIV/0!</v>
      </c>
      <c r="G85" s="18">
        <f t="shared" si="8"/>
        <v>0</v>
      </c>
      <c r="H85" s="58"/>
      <c r="I85" s="18" t="e">
        <f t="shared" si="7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6"/>
        <v>#DIV/0!</v>
      </c>
      <c r="G86" s="18">
        <f t="shared" si="8"/>
        <v>0</v>
      </c>
      <c r="H86" s="58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6"/>
        <v>#DIV/0!</v>
      </c>
      <c r="G87" s="18">
        <f t="shared" si="8"/>
        <v>0</v>
      </c>
      <c r="H87" s="58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6"/>
        <v>#DIV/0!</v>
      </c>
      <c r="G88" s="18">
        <f t="shared" si="8"/>
        <v>0</v>
      </c>
      <c r="H88" s="58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D72-D73+D77-D78</f>
        <v>1129.0407999999952</v>
      </c>
      <c r="E89" s="6">
        <f>E72-E73+E77-E78</f>
        <v>2539.4561119999635</v>
      </c>
      <c r="F89" s="6">
        <f t="shared" si="6"/>
        <v>224.9</v>
      </c>
      <c r="G89" s="6">
        <f t="shared" si="8"/>
        <v>1410.4153119999683</v>
      </c>
      <c r="H89" s="62">
        <v>-1936.1500000000087</v>
      </c>
      <c r="I89" s="6">
        <f t="shared" ref="I89:I96" si="9">ROUND(E89/H89*100,1)</f>
        <v>-131.19999999999999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/>
      <c r="E90" s="195">
        <v>0</v>
      </c>
      <c r="F90" s="195">
        <v>0</v>
      </c>
      <c r="G90" s="195">
        <v>0</v>
      </c>
      <c r="H90" s="195">
        <v>0</v>
      </c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8"/>
        <v>-15.822778173897415</v>
      </c>
      <c r="H91" s="34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1129.0407999999952</v>
      </c>
      <c r="E92" s="34">
        <f>E89</f>
        <v>2539.4561119999635</v>
      </c>
      <c r="F92" s="18">
        <f t="shared" si="6"/>
        <v>224.9</v>
      </c>
      <c r="G92" s="18">
        <f t="shared" si="8"/>
        <v>1410.4153119999683</v>
      </c>
      <c r="H92" s="34">
        <v>-1936.1500000000087</v>
      </c>
      <c r="I92" s="18">
        <f t="shared" si="9"/>
        <v>-131.19999999999999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f>D92*15%</f>
        <v>169.35611999999927</v>
      </c>
      <c r="E93" s="195">
        <v>1818.8056180000001</v>
      </c>
      <c r="F93" s="18">
        <f t="shared" si="6"/>
        <v>1074</v>
      </c>
      <c r="G93" s="18">
        <f t="shared" si="8"/>
        <v>1649.4494980000009</v>
      </c>
      <c r="H93" s="195">
        <v>1602.886</v>
      </c>
      <c r="I93" s="18">
        <f t="shared" si="9"/>
        <v>113.5</v>
      </c>
      <c r="J93" t="s">
        <v>103</v>
      </c>
    </row>
    <row r="94" spans="1:10" ht="15.75" hidden="1" outlineLevel="1">
      <c r="A94" s="34"/>
      <c r="B94" s="220" t="s">
        <v>130</v>
      </c>
      <c r="C94" s="18" t="s">
        <v>37</v>
      </c>
      <c r="D94" s="33"/>
      <c r="E94" s="34"/>
      <c r="F94" s="18" t="e">
        <f t="shared" si="6"/>
        <v>#DIV/0!</v>
      </c>
      <c r="G94" s="18">
        <f t="shared" si="8"/>
        <v>0</v>
      </c>
      <c r="H94" s="34"/>
      <c r="I94" s="18" t="e">
        <f t="shared" si="9"/>
        <v>#DIV/0!</v>
      </c>
      <c r="J94" t="s">
        <v>103</v>
      </c>
    </row>
    <row r="95" spans="1:10" ht="15.75" hidden="1" outlineLevel="2">
      <c r="A95" s="34"/>
      <c r="B95" s="220" t="s">
        <v>131</v>
      </c>
      <c r="C95" s="18" t="s">
        <v>37</v>
      </c>
      <c r="D95" s="33"/>
      <c r="E95" s="34"/>
      <c r="F95" s="18" t="e">
        <f t="shared" si="6"/>
        <v>#DIV/0!</v>
      </c>
      <c r="G95" s="18">
        <f t="shared" si="8"/>
        <v>0</v>
      </c>
      <c r="H95" s="34"/>
      <c r="I95" s="18" t="e">
        <f t="shared" si="9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959.68467999999598</v>
      </c>
      <c r="E96" s="34">
        <f>E92-E93</f>
        <v>720.65049399996337</v>
      </c>
      <c r="F96" s="18">
        <f t="shared" si="6"/>
        <v>75.099999999999994</v>
      </c>
      <c r="G96" s="18">
        <f t="shared" si="8"/>
        <v>-239.03418600003261</v>
      </c>
      <c r="H96" s="34">
        <v>-3539.0360000000087</v>
      </c>
      <c r="I96" s="18">
        <f t="shared" si="9"/>
        <v>-20.399999999999999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34" t="s">
        <v>136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169.35611999999927</v>
      </c>
      <c r="E102" s="6">
        <f>E103+E106</f>
        <v>25233.805617999999</v>
      </c>
      <c r="F102" s="6">
        <f t="shared" ref="F102:F105" si="10">ROUND(E102/D102*100,1)</f>
        <v>14899.8</v>
      </c>
      <c r="G102" s="6">
        <f>E102-D102</f>
        <v>25064.449497999998</v>
      </c>
      <c r="H102" s="6">
        <v>-10677.599</v>
      </c>
      <c r="I102" s="6">
        <f>ROUND(E102/H102*100,1)</f>
        <v>-236.3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169.35611999999927</v>
      </c>
      <c r="E103" s="195">
        <f>E93</f>
        <v>1818.8056180000001</v>
      </c>
      <c r="F103" s="195">
        <f t="shared" si="10"/>
        <v>1074</v>
      </c>
      <c r="G103" s="18">
        <f>E103-D103</f>
        <v>1649.4494980000009</v>
      </c>
      <c r="H103" s="195">
        <v>1602.886</v>
      </c>
      <c r="I103" s="18">
        <f>ROUND(E103/H103*100,1)</f>
        <v>113.5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 t="e">
        <f t="shared" si="10"/>
        <v>#DIV/0!</v>
      </c>
      <c r="G104" s="34"/>
      <c r="H104" s="34"/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 t="e">
        <f t="shared" si="10"/>
        <v>#DIV/0!</v>
      </c>
      <c r="G105" s="34">
        <f t="shared" ref="G105:G113" si="11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/>
      <c r="E106" s="18">
        <v>23415</v>
      </c>
      <c r="F106" s="18"/>
      <c r="G106" s="34">
        <f t="shared" si="11"/>
        <v>23415</v>
      </c>
      <c r="H106" s="18">
        <v>-12280.485000000001</v>
      </c>
      <c r="I106" s="18">
        <f>ROUND(E106/H106*100,1)</f>
        <v>-190.7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43423.524999999994</v>
      </c>
      <c r="E107" s="6">
        <f>SUM(E108:E112)</f>
        <v>55713.405994000001</v>
      </c>
      <c r="F107" s="6">
        <f>ROUND(E107/D107*100,1)</f>
        <v>128.30000000000001</v>
      </c>
      <c r="G107" s="6">
        <f t="shared" si="11"/>
        <v>12289.880994000006</v>
      </c>
      <c r="H107" s="6">
        <v>41939.747000000003</v>
      </c>
      <c r="I107" s="6">
        <f>IF(H107&gt;0,ROUND(E107/H107*100,1),0)</f>
        <v>132.80000000000001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>
        <f>12382.5+1986.8</f>
        <v>14369.3</v>
      </c>
      <c r="F108" s="6"/>
      <c r="G108" s="18">
        <f t="shared" si="11"/>
        <v>14369.3</v>
      </c>
      <c r="H108" s="18"/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1204.578</v>
      </c>
      <c r="E109" s="34">
        <v>1578.8689629999999</v>
      </c>
      <c r="F109" s="18">
        <f>ROUND(E109/D109*100,1)</f>
        <v>131.1</v>
      </c>
      <c r="G109" s="18">
        <f t="shared" si="11"/>
        <v>374.29096299999992</v>
      </c>
      <c r="H109" s="34">
        <v>941.55799999999999</v>
      </c>
      <c r="I109" s="34">
        <f>ROUND(E109/H109*100,1)</f>
        <v>167.7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736.24</v>
      </c>
      <c r="E110" s="34">
        <v>770.20434999999998</v>
      </c>
      <c r="F110" s="18">
        <f>ROUND(E110/D110*100,1)</f>
        <v>104.6</v>
      </c>
      <c r="G110" s="18">
        <f t="shared" si="11"/>
        <v>33.964349999999968</v>
      </c>
      <c r="H110" s="34">
        <v>595.82600000000002</v>
      </c>
      <c r="I110" s="34">
        <f>ROUND(E110/H110*100,1)</f>
        <v>129.30000000000001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11240</v>
      </c>
      <c r="E111" s="34">
        <v>12382.5363</v>
      </c>
      <c r="F111" s="18">
        <f>ROUND(E111/D111*100,1)</f>
        <v>110.2</v>
      </c>
      <c r="G111" s="18">
        <f t="shared" si="11"/>
        <v>1142.5362999999998</v>
      </c>
      <c r="H111" s="34">
        <v>11106.678</v>
      </c>
      <c r="I111" s="34">
        <f>ROUND(E111/H111*100,1)</f>
        <v>111.5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30242.706999999999</v>
      </c>
      <c r="E112" s="34">
        <v>26612.496381000001</v>
      </c>
      <c r="F112" s="18">
        <f>ROUND(E112/D112*100,1)</f>
        <v>88</v>
      </c>
      <c r="G112" s="18">
        <f t="shared" si="11"/>
        <v>-3630.2106189999977</v>
      </c>
      <c r="H112" s="34">
        <v>29295.685000000001</v>
      </c>
      <c r="I112" s="34">
        <f>ROUND(E112/H112*100,1)</f>
        <v>90.8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48056.517</v>
      </c>
      <c r="E113" s="6">
        <f>SUM(E115:E120)</f>
        <v>29427</v>
      </c>
      <c r="F113" s="6">
        <f>ROUND(E113/D113*100,1)</f>
        <v>61.2</v>
      </c>
      <c r="G113" s="6">
        <f t="shared" si="11"/>
        <v>-18629.517</v>
      </c>
      <c r="H113" s="6">
        <v>24566.186999999998</v>
      </c>
      <c r="I113" s="6">
        <f>ROUND(E113/H113*100,1)</f>
        <v>119.8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1" si="12">E115-D115</f>
        <v>0</v>
      </c>
      <c r="H115" s="18"/>
      <c r="I115" s="18" t="e">
        <f t="shared" ref="I115:I121" si="13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2"/>
        <v>0</v>
      </c>
      <c r="H116" s="18"/>
      <c r="I116" s="18" t="e">
        <f t="shared" si="13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v>27646.712</v>
      </c>
      <c r="E117" s="18">
        <v>27547.9</v>
      </c>
      <c r="F117" s="18">
        <f>ROUND(E117/D117*100,1)</f>
        <v>99.6</v>
      </c>
      <c r="G117" s="18">
        <f t="shared" si="12"/>
        <v>-98.811999999998079</v>
      </c>
      <c r="H117" s="18">
        <v>23843.066999999999</v>
      </c>
      <c r="I117" s="18">
        <f t="shared" si="13"/>
        <v>115.5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934.13300000000004</v>
      </c>
      <c r="E118" s="35">
        <v>1879.1</v>
      </c>
      <c r="F118" s="18">
        <f>ROUND(E118/D118*100,1)</f>
        <v>201.2</v>
      </c>
      <c r="G118" s="35">
        <f t="shared" si="12"/>
        <v>944.96699999999987</v>
      </c>
      <c r="H118" s="35">
        <v>723.12</v>
      </c>
      <c r="I118" s="18">
        <f t="shared" si="13"/>
        <v>259.89999999999998</v>
      </c>
      <c r="J118" s="11" t="s">
        <v>139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2"/>
        <v>0</v>
      </c>
      <c r="H119" s="18"/>
      <c r="I119" s="18" t="e">
        <f t="shared" si="13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19475.671999999999</v>
      </c>
      <c r="E120" s="18"/>
      <c r="F120" s="18">
        <f>ROUND(E120/D120*100,1)</f>
        <v>0</v>
      </c>
      <c r="G120" s="18">
        <f t="shared" si="12"/>
        <v>-19475.671999999999</v>
      </c>
      <c r="H120" s="18"/>
      <c r="I120" s="18" t="e">
        <f t="shared" si="13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91649.398119999998</v>
      </c>
      <c r="E121" s="6">
        <f>E102+E113+E107</f>
        <v>110374.211612</v>
      </c>
      <c r="F121" s="6">
        <f>ROUND(E121/D121*100,1)</f>
        <v>120.4</v>
      </c>
      <c r="G121" s="6">
        <f t="shared" si="12"/>
        <v>18724.813492000001</v>
      </c>
      <c r="H121" s="6">
        <v>55828.334999999999</v>
      </c>
      <c r="I121" s="6">
        <f t="shared" si="13"/>
        <v>197.7</v>
      </c>
      <c r="J121" s="11" t="s">
        <v>139</v>
      </c>
    </row>
    <row r="122" spans="1:13" ht="15.75">
      <c r="A122" s="34" t="s">
        <v>157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 collapsed="1">
      <c r="A125" s="34" t="s">
        <v>161</v>
      </c>
      <c r="B125" s="227" t="s">
        <v>162</v>
      </c>
      <c r="C125" s="18" t="s">
        <v>37</v>
      </c>
      <c r="D125" s="6">
        <f>SUM(D127:D130)</f>
        <v>747561.96849999996</v>
      </c>
      <c r="E125" s="6">
        <f>SUM(E127:E130)</f>
        <v>701537.16926200001</v>
      </c>
      <c r="F125" s="6">
        <f t="shared" ref="F125:F130" si="14">ROUND(E125/D125*100,1)</f>
        <v>93.8</v>
      </c>
      <c r="G125" s="6">
        <f t="shared" ref="G125:G151" si="15">E125-D125</f>
        <v>-46024.799237999949</v>
      </c>
      <c r="H125" s="6">
        <v>535096.65500000003</v>
      </c>
      <c r="I125" s="6">
        <f>ROUND(E125/H125*100,1)</f>
        <v>131.1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5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432547.01250000001</v>
      </c>
      <c r="E127" s="18">
        <v>389106.985384</v>
      </c>
      <c r="F127" s="18">
        <f t="shared" si="14"/>
        <v>90</v>
      </c>
      <c r="G127" s="18">
        <f t="shared" si="15"/>
        <v>-43440.027116000012</v>
      </c>
      <c r="H127" s="18">
        <v>289420.51</v>
      </c>
      <c r="I127" s="18">
        <f>ROUND(E127/H127*100,1)</f>
        <v>134.4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v>206873</v>
      </c>
      <c r="E128" s="18">
        <v>184071</v>
      </c>
      <c r="F128" s="18">
        <f t="shared" si="14"/>
        <v>89</v>
      </c>
      <c r="G128" s="18">
        <f t="shared" si="15"/>
        <v>-22802</v>
      </c>
      <c r="H128" s="18">
        <v>150469.76300000001</v>
      </c>
      <c r="I128" s="18">
        <f>ROUND(E128/H128*100,1)</f>
        <v>122.3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89499.277000000002</v>
      </c>
      <c r="E129" s="18">
        <v>105298.181679</v>
      </c>
      <c r="F129" s="18">
        <f t="shared" si="14"/>
        <v>117.7</v>
      </c>
      <c r="G129" s="18">
        <f t="shared" si="15"/>
        <v>15798.904678999999</v>
      </c>
      <c r="H129" s="18">
        <v>75346.324999999997</v>
      </c>
      <c r="I129" s="18">
        <f>ROUND(E129/H129*100,1)</f>
        <v>139.80000000000001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18642.679</v>
      </c>
      <c r="E130" s="18">
        <v>23061.002198999999</v>
      </c>
      <c r="F130" s="18">
        <f t="shared" si="14"/>
        <v>123.7</v>
      </c>
      <c r="G130" s="18">
        <f t="shared" si="15"/>
        <v>4418.3231989999986</v>
      </c>
      <c r="H130" s="18">
        <v>19860.057000000001</v>
      </c>
      <c r="I130" s="18">
        <f>ROUND(E130/H130*100,1)</f>
        <v>116.1</v>
      </c>
      <c r="J130" s="11" t="s">
        <v>139</v>
      </c>
    </row>
    <row r="131" spans="1:13" ht="23.25" customHeight="1">
      <c r="A131" s="18" t="s">
        <v>168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6"/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5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34">
        <v>2093205.36</v>
      </c>
      <c r="F133" s="34"/>
      <c r="G133" s="34">
        <f t="shared" si="15"/>
        <v>2093205.36</v>
      </c>
      <c r="H133" s="34">
        <v>2068218.5</v>
      </c>
      <c r="I133" s="34">
        <f>IF(H133&gt;0,ROUND(E133/H133*100,1),0)</f>
        <v>101.2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5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1329890.973</v>
      </c>
      <c r="F135" s="18"/>
      <c r="G135" s="18">
        <f t="shared" si="15"/>
        <v>1329890.973</v>
      </c>
      <c r="H135" s="18">
        <v>1342553.8</v>
      </c>
      <c r="I135" s="18">
        <f t="shared" ref="I135:I143" si="16">IF(H135&gt;0,ROUND(E135/H135*100,1),0)</f>
        <v>99.1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36.609000000000002</v>
      </c>
      <c r="F136" s="18"/>
      <c r="G136" s="18">
        <f t="shared" si="15"/>
        <v>36.609000000000002</v>
      </c>
      <c r="H136" s="18">
        <v>54378</v>
      </c>
      <c r="I136" s="18">
        <f t="shared" si="16"/>
        <v>0.1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v>1115243.6059999999</v>
      </c>
      <c r="F137" s="18"/>
      <c r="G137" s="18">
        <f t="shared" si="15"/>
        <v>1115243.6059999999</v>
      </c>
      <c r="H137" s="18">
        <v>873933.9</v>
      </c>
      <c r="I137" s="18">
        <f t="shared" si="16"/>
        <v>127.6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5"/>
        <v>0</v>
      </c>
      <c r="H138" s="18"/>
      <c r="I138" s="18">
        <f t="shared" si="16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v>555912.65599999996</v>
      </c>
      <c r="F139" s="18"/>
      <c r="G139" s="81">
        <f t="shared" si="15"/>
        <v>555912.65599999996</v>
      </c>
      <c r="H139" s="81">
        <v>251395.1</v>
      </c>
      <c r="I139" s="18">
        <f t="shared" si="16"/>
        <v>221.1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5"/>
        <v>0</v>
      </c>
      <c r="H140" s="18"/>
      <c r="I140" s="18">
        <f t="shared" si="16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159783.08799999999</v>
      </c>
      <c r="F141" s="18"/>
      <c r="G141" s="18">
        <f t="shared" si="15"/>
        <v>159783.08799999999</v>
      </c>
      <c r="H141" s="18">
        <v>123870.3</v>
      </c>
      <c r="I141" s="18">
        <f t="shared" si="16"/>
        <v>129</v>
      </c>
      <c r="K141" t="s">
        <v>170</v>
      </c>
      <c r="L141" t="s">
        <v>170</v>
      </c>
      <c r="M141" t="s">
        <v>182</v>
      </c>
    </row>
    <row r="142" spans="1:13" ht="15.75">
      <c r="A142" s="34"/>
      <c r="B142" s="228" t="s">
        <v>183</v>
      </c>
      <c r="C142" s="18" t="s">
        <v>37</v>
      </c>
      <c r="D142" s="18"/>
      <c r="E142" s="18">
        <v>388027.05900000001</v>
      </c>
      <c r="F142" s="18"/>
      <c r="G142" s="18">
        <f t="shared" si="15"/>
        <v>388027.05900000001</v>
      </c>
      <c r="H142" s="18">
        <v>120950.1</v>
      </c>
      <c r="I142" s="18">
        <f t="shared" si="16"/>
        <v>320.8</v>
      </c>
      <c r="K142" t="s">
        <v>170</v>
      </c>
      <c r="L142" t="s">
        <v>170</v>
      </c>
      <c r="M142" t="s">
        <v>184</v>
      </c>
    </row>
    <row r="143" spans="1:13" ht="15.75">
      <c r="A143" s="34"/>
      <c r="B143" s="237" t="s">
        <v>185</v>
      </c>
      <c r="C143" s="18" t="s">
        <v>37</v>
      </c>
      <c r="D143" s="18"/>
      <c r="E143" s="18">
        <v>11418.726000000001</v>
      </c>
      <c r="F143" s="18"/>
      <c r="G143" s="18">
        <f>E143-D143</f>
        <v>11418.726000000001</v>
      </c>
      <c r="H143" s="18">
        <v>4931.6000000000004</v>
      </c>
      <c r="I143" s="18">
        <f t="shared" si="16"/>
        <v>231.5</v>
      </c>
      <c r="K143" t="s">
        <v>170</v>
      </c>
      <c r="L143" t="s">
        <v>170</v>
      </c>
      <c r="M143" t="s">
        <v>186</v>
      </c>
    </row>
    <row r="144" spans="1:13" ht="18" customHeight="1">
      <c r="A144" s="34"/>
      <c r="B144" s="34" t="s">
        <v>163</v>
      </c>
      <c r="C144" s="18" t="s">
        <v>37</v>
      </c>
      <c r="D144" s="18"/>
      <c r="E144" s="18"/>
      <c r="F144" s="18"/>
      <c r="G144" s="18">
        <f t="shared" si="15"/>
        <v>0</v>
      </c>
      <c r="H144" s="18"/>
      <c r="I144" s="18"/>
      <c r="K144" t="s">
        <v>170</v>
      </c>
      <c r="L144" t="s">
        <v>170</v>
      </c>
    </row>
    <row r="145" spans="1:12" ht="15.75">
      <c r="A145" s="34"/>
      <c r="B145" s="224" t="s">
        <v>187</v>
      </c>
      <c r="C145" s="18" t="s">
        <v>37</v>
      </c>
      <c r="D145" s="18"/>
      <c r="E145" s="18"/>
      <c r="F145" s="18"/>
      <c r="G145" s="18">
        <f t="shared" si="15"/>
        <v>0</v>
      </c>
      <c r="H145" s="18"/>
      <c r="I145" s="18">
        <f>IF(H145&gt;0,ROUND(E145/H145*100,1),0)</f>
        <v>0</v>
      </c>
      <c r="K145" t="s">
        <v>170</v>
      </c>
    </row>
    <row r="146" spans="1:12" ht="18.75" hidden="1" customHeight="1" outlineLevel="1">
      <c r="A146" s="34" t="s">
        <v>188</v>
      </c>
      <c r="B146" s="220" t="s">
        <v>189</v>
      </c>
      <c r="C146" s="18" t="s">
        <v>37</v>
      </c>
      <c r="D146" s="18"/>
      <c r="E146" s="18"/>
      <c r="F146" s="18"/>
      <c r="G146" s="18">
        <f>E146-D146</f>
        <v>0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34">
        <v>30</v>
      </c>
      <c r="B147" s="220" t="s">
        <v>190</v>
      </c>
      <c r="C147" s="18" t="s">
        <v>37</v>
      </c>
      <c r="D147" s="18"/>
      <c r="E147" s="18">
        <v>430386.63199999998</v>
      </c>
      <c r="F147" s="18"/>
      <c r="G147" s="18">
        <f>E147-D147</f>
        <v>430386.63199999998</v>
      </c>
      <c r="H147" s="18">
        <v>506762.5</v>
      </c>
      <c r="I147" s="18">
        <f>ROUND(E147/H147*100,1)</f>
        <v>84.9</v>
      </c>
      <c r="K147" t="s">
        <v>170</v>
      </c>
      <c r="L147" t="s">
        <v>191</v>
      </c>
    </row>
    <row r="148" spans="1:12" ht="15.75" hidden="1" outlineLevel="1">
      <c r="A148" s="34"/>
      <c r="B148" s="34" t="s">
        <v>12</v>
      </c>
      <c r="C148" s="18" t="s">
        <v>37</v>
      </c>
      <c r="D148" s="18"/>
      <c r="E148" s="18"/>
      <c r="F148" s="18"/>
      <c r="G148" s="18">
        <f t="shared" si="15"/>
        <v>0</v>
      </c>
      <c r="H148" s="18"/>
      <c r="I148" s="18"/>
      <c r="K148" t="s">
        <v>170</v>
      </c>
    </row>
    <row r="149" spans="1:12" ht="15.75" hidden="1" outlineLevel="1">
      <c r="A149" s="34"/>
      <c r="B149" s="220" t="s">
        <v>192</v>
      </c>
      <c r="C149" s="18" t="s">
        <v>37</v>
      </c>
      <c r="D149" s="18"/>
      <c r="E149" s="18"/>
      <c r="F149" s="18"/>
      <c r="G149" s="18">
        <f t="shared" si="15"/>
        <v>0</v>
      </c>
      <c r="H149" s="18"/>
      <c r="I149" s="18"/>
      <c r="K149" t="s">
        <v>170</v>
      </c>
    </row>
    <row r="150" spans="1:12" ht="15.75" hidden="1" outlineLevel="1">
      <c r="A150" s="34"/>
      <c r="B150" s="220" t="s">
        <v>193</v>
      </c>
      <c r="C150" s="18" t="s">
        <v>37</v>
      </c>
      <c r="D150" s="18"/>
      <c r="E150" s="18"/>
      <c r="F150" s="18"/>
      <c r="G150" s="18">
        <f t="shared" si="15"/>
        <v>0</v>
      </c>
      <c r="H150" s="18"/>
      <c r="I150" s="18" t="e">
        <f>ROUND(E150/H150*100,1)</f>
        <v>#DIV/0!</v>
      </c>
      <c r="K150" t="s">
        <v>170</v>
      </c>
    </row>
    <row r="151" spans="1:12" ht="15.75" collapsed="1">
      <c r="A151" s="34">
        <v>31</v>
      </c>
      <c r="B151" s="220" t="s">
        <v>194</v>
      </c>
      <c r="C151" s="18" t="s">
        <v>37</v>
      </c>
      <c r="D151" s="18"/>
      <c r="E151" s="18">
        <v>583396.40500000003</v>
      </c>
      <c r="F151" s="18"/>
      <c r="G151" s="18">
        <f t="shared" si="15"/>
        <v>583396.40500000003</v>
      </c>
      <c r="H151" s="18">
        <v>572678.30000000005</v>
      </c>
      <c r="I151" s="18">
        <f>ROUND(E151/H151*100,1)</f>
        <v>101.9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34">
        <f>'1-полугод 2023 г. без.сп.над '!E152</f>
        <v>0</v>
      </c>
      <c r="F152" s="40"/>
      <c r="G152" s="40"/>
      <c r="H152" s="41"/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34">
        <f>'1-полугод 2023 г. без.сп.над '!E153</f>
        <v>0</v>
      </c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34">
        <f>'1-полугод 2023 г. без.сп.над '!E154</f>
        <v>0</v>
      </c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34">
        <f>'1-полугод 2023 г. без.сп.над '!E155</f>
        <v>0</v>
      </c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34">
        <f>'1-полугод 2023 г. без.сп.над '!E156</f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34">
        <f>'1-полугод 2023 г. без.сп.над '!E157</f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34">
        <f>'1-полугод 2023 г. без.сп.над '!E158</f>
        <v>0</v>
      </c>
      <c r="F158" s="40"/>
      <c r="G158" s="40"/>
      <c r="H158" s="41"/>
      <c r="I158" s="40" t="e">
        <f>ROUND(E158/H158*100,1)</f>
        <v>#DIV/0!</v>
      </c>
    </row>
    <row r="159" spans="1:12" ht="48.75" customHeight="1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'[4]2019'!$G$164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'[5]2019'!B168</f>
        <v>Начальник ОЭАиП</v>
      </c>
      <c r="C166" s="46"/>
      <c r="D166" s="46"/>
      <c r="E166" s="46"/>
      <c r="F166" s="48"/>
      <c r="G166" s="46" t="s">
        <v>251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B169" s="207" t="s">
        <v>243</v>
      </c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70"/>
  <sheetViews>
    <sheetView showZeros="0" view="pageBreakPreview" zoomScale="90" zoomScaleNormal="100" zoomScaleSheetLayoutView="90" workbookViewId="0">
      <pane ySplit="3" topLeftCell="A4" activePane="bottomLeft" state="frozen"/>
      <selection activeCell="K11" sqref="K11"/>
      <selection pane="bottomLeft" activeCell="K159" sqref="K159"/>
    </sheetView>
  </sheetViews>
  <sheetFormatPr defaultRowHeight="12.75" outlineLevelRow="2" outlineLevelCol="1"/>
  <cols>
    <col min="1" max="1" width="6.14062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8.7109375" customWidth="1" outlineLevel="1"/>
    <col min="11" max="11" width="13.28515625" customWidth="1" outlineLevel="1"/>
    <col min="12" max="12" width="12.42578125" customWidth="1" outlineLevel="1"/>
    <col min="13" max="13" width="13.5703125" customWidth="1" outlineLevel="1"/>
    <col min="14" max="14" width="12" customWidth="1" outlineLevel="1"/>
  </cols>
  <sheetData>
    <row r="1" spans="1:10" ht="48" customHeight="1">
      <c r="A1" s="282" t="s">
        <v>296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297</v>
      </c>
      <c r="E2" s="289"/>
      <c r="F2" s="289"/>
      <c r="G2" s="289"/>
      <c r="H2" s="290" t="s">
        <v>298</v>
      </c>
      <c r="I2" s="288" t="s">
        <v>3</v>
      </c>
    </row>
    <row r="3" spans="1:10" ht="22.5" customHeight="1">
      <c r="A3" s="286"/>
      <c r="B3" s="287"/>
      <c r="C3" s="287"/>
      <c r="D3" s="272" t="s">
        <v>4</v>
      </c>
      <c r="E3" s="271" t="s">
        <v>5</v>
      </c>
      <c r="F3" s="271" t="s">
        <v>6</v>
      </c>
      <c r="G3" s="271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70">
        <f>D7+D8+D9</f>
        <v>4883</v>
      </c>
      <c r="E5" s="270">
        <f>E7+E8+E9</f>
        <v>5008.143</v>
      </c>
      <c r="F5" s="270">
        <f>ROUND(E5/D5*100,1)</f>
        <v>102.6</v>
      </c>
      <c r="G5" s="270">
        <f>E5-D5</f>
        <v>125.14300000000003</v>
      </c>
      <c r="H5" s="6">
        <f>H7+H8+H9</f>
        <v>4739.6549999999997</v>
      </c>
      <c r="I5" s="6">
        <f>IF(H5&gt;0,ROUND(E5/H5*100,1),0)</f>
        <v>105.7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18"/>
      <c r="I6" s="7"/>
    </row>
    <row r="7" spans="1:10" ht="15.75">
      <c r="A7" s="7"/>
      <c r="B7" s="218" t="s">
        <v>13</v>
      </c>
      <c r="C7" s="7" t="s">
        <v>11</v>
      </c>
      <c r="D7" s="34">
        <v>4047.8</v>
      </c>
      <c r="E7" s="34">
        <v>4149.9989999999998</v>
      </c>
      <c r="F7" s="34">
        <f>ROUND(E7/D7*100,1)</f>
        <v>102.5</v>
      </c>
      <c r="G7" s="34">
        <f>E7-D7</f>
        <v>102.19899999999961</v>
      </c>
      <c r="H7" s="34">
        <v>3826.8690000000001</v>
      </c>
      <c r="I7" s="9">
        <f>IF(H7&gt;0,ROUND(E7/H7*100,1),0)</f>
        <v>108.4</v>
      </c>
    </row>
    <row r="8" spans="1:10" ht="15.75">
      <c r="A8" s="7"/>
      <c r="B8" s="218" t="s">
        <v>14</v>
      </c>
      <c r="C8" s="7" t="s">
        <v>11</v>
      </c>
      <c r="D8" s="34">
        <v>43.2</v>
      </c>
      <c r="E8" s="34">
        <v>45.444000000000003</v>
      </c>
      <c r="F8" s="34">
        <f>ROUND(E8/D8*100,1)</f>
        <v>105.2</v>
      </c>
      <c r="G8" s="34">
        <f>E8-D8</f>
        <v>2.2439999999999998</v>
      </c>
      <c r="H8" s="34">
        <v>46.311999999999998</v>
      </c>
      <c r="I8" s="9">
        <f>IF(H8&gt;0,ROUND(E8/H8*100,1),0)</f>
        <v>98.1</v>
      </c>
    </row>
    <row r="9" spans="1:10" ht="15.75">
      <c r="A9" s="7"/>
      <c r="B9" s="218" t="s">
        <v>15</v>
      </c>
      <c r="C9" s="7" t="s">
        <v>11</v>
      </c>
      <c r="D9" s="34">
        <v>792</v>
      </c>
      <c r="E9" s="34">
        <v>812.7</v>
      </c>
      <c r="F9" s="34">
        <f>ROUND(E9/D9*100,1)</f>
        <v>102.6</v>
      </c>
      <c r="G9" s="34">
        <f>E9-D9</f>
        <v>20.700000000000045</v>
      </c>
      <c r="H9" s="34">
        <v>866.47400000000005</v>
      </c>
      <c r="I9" s="9">
        <f>IF(H9&gt;0,ROUND(E9/H9*100,1),0)</f>
        <v>93.8</v>
      </c>
    </row>
    <row r="10" spans="1:10" ht="15.75">
      <c r="A10" s="7" t="s">
        <v>16</v>
      </c>
      <c r="B10" s="217" t="s">
        <v>17</v>
      </c>
      <c r="C10" s="269" t="s">
        <v>11</v>
      </c>
      <c r="D10" s="6">
        <f>D12+D13</f>
        <v>631</v>
      </c>
      <c r="E10" s="6">
        <f>E12+E13</f>
        <v>329.53399999999999</v>
      </c>
      <c r="F10" s="270">
        <f>ROUND(E10/D10*100,1)</f>
        <v>52.2</v>
      </c>
      <c r="G10" s="270">
        <f>E10-D10</f>
        <v>-301.46600000000001</v>
      </c>
      <c r="H10" s="6">
        <f>H12+H13</f>
        <v>376.91700000000003</v>
      </c>
      <c r="I10" s="269">
        <f t="shared" ref="I10:I28" si="0">IF(H10&gt;0,ROUND(E10/H10*100,1),0)</f>
        <v>87.4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18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355</v>
      </c>
      <c r="E12" s="34">
        <v>198.941</v>
      </c>
      <c r="F12" s="34">
        <f>ROUND(E12/D12*100,1)</f>
        <v>56</v>
      </c>
      <c r="G12" s="34">
        <f>E12-D12</f>
        <v>-156.059</v>
      </c>
      <c r="H12" s="34">
        <v>199.92500000000001</v>
      </c>
      <c r="I12" s="9">
        <f t="shared" si="0"/>
        <v>99.5</v>
      </c>
    </row>
    <row r="13" spans="1:10" ht="15.75">
      <c r="A13" s="7"/>
      <c r="B13" s="218" t="s">
        <v>19</v>
      </c>
      <c r="C13" s="7" t="s">
        <v>11</v>
      </c>
      <c r="D13" s="34">
        <v>276</v>
      </c>
      <c r="E13" s="34">
        <v>130.59299999999999</v>
      </c>
      <c r="F13" s="34">
        <f>ROUND(E13/D13*100,1)</f>
        <v>47.3</v>
      </c>
      <c r="G13" s="34">
        <f>E13-D13</f>
        <v>-145.40700000000001</v>
      </c>
      <c r="H13" s="34">
        <v>176.99199999999999</v>
      </c>
      <c r="I13" s="9">
        <f t="shared" si="0"/>
        <v>73.8</v>
      </c>
    </row>
    <row r="14" spans="1:10" ht="15.75">
      <c r="A14" s="7" t="s">
        <v>20</v>
      </c>
      <c r="B14" s="217" t="s">
        <v>286</v>
      </c>
      <c r="C14" s="89" t="s">
        <v>11</v>
      </c>
      <c r="D14" s="270">
        <f>D16+D17+D18</f>
        <v>4989.8999999999996</v>
      </c>
      <c r="E14" s="270">
        <f>E16+E17+E18</f>
        <v>4060.95</v>
      </c>
      <c r="F14" s="270">
        <f>ROUND(E14/D14*100,1)</f>
        <v>81.400000000000006</v>
      </c>
      <c r="G14" s="270">
        <f>E14-D14</f>
        <v>-928.94999999999982</v>
      </c>
      <c r="H14" s="6">
        <f>H16+H17+H18</f>
        <v>4012.7859999999996</v>
      </c>
      <c r="I14" s="9">
        <f t="shared" si="0"/>
        <v>101.2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18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4046.7</v>
      </c>
      <c r="E16" s="34">
        <v>3169.8910000000001</v>
      </c>
      <c r="F16" s="34">
        <f>ROUND(E16/D16*100,1)</f>
        <v>78.3</v>
      </c>
      <c r="G16" s="34">
        <f>E16-D16</f>
        <v>-876.80899999999974</v>
      </c>
      <c r="H16" s="34">
        <v>3329.2959999999998</v>
      </c>
      <c r="I16" s="9">
        <f t="shared" si="0"/>
        <v>95.2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43.2</v>
      </c>
      <c r="E17" s="34">
        <v>44.79</v>
      </c>
      <c r="F17" s="34">
        <f>ROUND(E17/D17*100,1)</f>
        <v>103.7</v>
      </c>
      <c r="G17" s="34">
        <f>E17-D17</f>
        <v>1.5899999999999963</v>
      </c>
      <c r="H17" s="34">
        <v>46.110999999999997</v>
      </c>
      <c r="I17" s="9">
        <f t="shared" si="0"/>
        <v>97.1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34">
        <v>900</v>
      </c>
      <c r="E18" s="34">
        <v>846.26900000000001</v>
      </c>
      <c r="F18" s="34">
        <f>ROUND(E18/D18*100,1)</f>
        <v>94</v>
      </c>
      <c r="G18" s="34">
        <f>E18-D18</f>
        <v>-53.730999999999995</v>
      </c>
      <c r="H18" s="18">
        <v>637.37900000000002</v>
      </c>
      <c r="I18" s="9">
        <f t="shared" si="0"/>
        <v>132.80000000000001</v>
      </c>
    </row>
    <row r="19" spans="1:12" ht="18.75">
      <c r="A19" s="7" t="s">
        <v>23</v>
      </c>
      <c r="B19" s="217" t="s">
        <v>24</v>
      </c>
      <c r="C19" s="89" t="s">
        <v>25</v>
      </c>
      <c r="D19" s="270">
        <f>D21+D22+D23+D24</f>
        <v>35422.400000000001</v>
      </c>
      <c r="E19" s="270">
        <f>E21+E22+E23+E24</f>
        <v>26498.277000000002</v>
      </c>
      <c r="F19" s="270">
        <f>ROUND(E19/D19*100,1)</f>
        <v>74.8</v>
      </c>
      <c r="G19" s="270">
        <f>E19-D19</f>
        <v>-8924.1229999999996</v>
      </c>
      <c r="H19" s="6">
        <f>H21+H22+H23+H24</f>
        <v>20206.217000000001</v>
      </c>
      <c r="I19" s="9">
        <f t="shared" si="0"/>
        <v>131.1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18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4334.8999999999996</v>
      </c>
      <c r="E21" s="34">
        <v>4568.2219999999998</v>
      </c>
      <c r="F21" s="34">
        <f>ROUND(E21/D21*100,1)</f>
        <v>105.4</v>
      </c>
      <c r="G21" s="34">
        <f t="shared" ref="G21:G31" si="1">E21-D21</f>
        <v>233.32200000000012</v>
      </c>
      <c r="H21" s="34">
        <v>3515.9169999999999</v>
      </c>
      <c r="I21" s="9">
        <f t="shared" si="0"/>
        <v>129.9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31087.5</v>
      </c>
      <c r="E22" s="34">
        <v>21930.055</v>
      </c>
      <c r="F22" s="34">
        <f>ROUND(E22/D22*100,1)</f>
        <v>70.5</v>
      </c>
      <c r="G22" s="34">
        <f t="shared" si="1"/>
        <v>-9157.4449999999997</v>
      </c>
      <c r="H22" s="34">
        <v>16690.3</v>
      </c>
      <c r="I22" s="9">
        <f t="shared" si="0"/>
        <v>131.4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/>
      <c r="E24" s="195"/>
      <c r="F24" s="195">
        <v>0</v>
      </c>
      <c r="G24" s="195">
        <v>0</v>
      </c>
      <c r="H24" s="195">
        <v>0</v>
      </c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663</v>
      </c>
      <c r="E25" s="18">
        <v>1985</v>
      </c>
      <c r="F25" s="18">
        <f t="shared" ref="F25:F29" si="2">ROUND(E25/D25*100,1)</f>
        <v>299.39999999999998</v>
      </c>
      <c r="G25" s="18">
        <f t="shared" si="1"/>
        <v>1322</v>
      </c>
      <c r="H25" s="18">
        <v>996</v>
      </c>
      <c r="I25" s="9">
        <f t="shared" si="0"/>
        <v>199.3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1203239.3049999999</v>
      </c>
      <c r="E26" s="18">
        <v>1214223.6540000001</v>
      </c>
      <c r="F26" s="18">
        <f t="shared" si="2"/>
        <v>100.9</v>
      </c>
      <c r="G26" s="18">
        <f t="shared" si="1"/>
        <v>10984.349000000162</v>
      </c>
      <c r="H26" s="18">
        <v>1153911.635</v>
      </c>
      <c r="I26" s="18">
        <f t="shared" si="0"/>
        <v>105.2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479.33100000000002</v>
      </c>
      <c r="E27" s="195">
        <v>260.49</v>
      </c>
      <c r="F27" s="18">
        <f t="shared" si="2"/>
        <v>54.3</v>
      </c>
      <c r="G27" s="18">
        <f>E27-D27</f>
        <v>-218.84100000000001</v>
      </c>
      <c r="H27" s="18">
        <v>475</v>
      </c>
      <c r="I27" s="18">
        <f t="shared" si="0"/>
        <v>54.8</v>
      </c>
      <c r="J27" t="s">
        <v>22</v>
      </c>
      <c r="K27"/>
    </row>
    <row r="28" spans="1:12" ht="31.5">
      <c r="A28" s="7" t="s">
        <v>39</v>
      </c>
      <c r="B28" s="219" t="s">
        <v>225</v>
      </c>
      <c r="C28" s="18" t="s">
        <v>37</v>
      </c>
      <c r="D28" s="18">
        <v>128364.44</v>
      </c>
      <c r="E28" s="18">
        <v>65704.160999999993</v>
      </c>
      <c r="F28" s="18">
        <f t="shared" si="2"/>
        <v>51.2</v>
      </c>
      <c r="G28" s="18">
        <f t="shared" si="1"/>
        <v>-62660.27900000001</v>
      </c>
      <c r="H28" s="18">
        <v>96910.278000000006</v>
      </c>
      <c r="I28" s="9">
        <f t="shared" si="0"/>
        <v>67.8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4480.7</v>
      </c>
      <c r="E29" s="18">
        <v>4719.6000000000004</v>
      </c>
      <c r="F29" s="18">
        <f t="shared" si="2"/>
        <v>105.3</v>
      </c>
      <c r="G29" s="18">
        <f t="shared" si="1"/>
        <v>238.90000000000055</v>
      </c>
      <c r="H29" s="18">
        <v>4370.5</v>
      </c>
      <c r="I29" s="9">
        <f>IF(H29&gt;0,ROUND(E29/H29*100,1),0)</f>
        <v>108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47</v>
      </c>
      <c r="B32" s="219" t="s">
        <v>48</v>
      </c>
      <c r="C32" s="18" t="s">
        <v>37</v>
      </c>
      <c r="D32" s="23"/>
      <c r="E32" s="23"/>
      <c r="F32" s="23"/>
      <c r="G32" s="23"/>
      <c r="H32" s="18">
        <f>'[6]9МЕС БЕЗ СПЕЦ.НАДБ.'!H32</f>
        <v>0</v>
      </c>
      <c r="I32" s="18">
        <f>IF(H32&gt;0,ROUND(E32/H32*100,1),0)</f>
        <v>0</v>
      </c>
    </row>
    <row r="33" spans="1:10" ht="15.75">
      <c r="A33" s="7" t="s">
        <v>49</v>
      </c>
      <c r="B33" s="217" t="s">
        <v>50</v>
      </c>
      <c r="C33" s="18" t="s">
        <v>37</v>
      </c>
      <c r="D33" s="26">
        <f>D35+D39+D40+D41+D42+D43+D45+D44</f>
        <v>140012.68775000004</v>
      </c>
      <c r="E33" s="26">
        <f>E35+E39+E40+E41+E42+E43+E45+E44</f>
        <v>159620.97204600013</v>
      </c>
      <c r="F33" s="26"/>
      <c r="G33" s="26">
        <f t="shared" ref="G33:G44" si="3">E33-D33</f>
        <v>19608.284296000085</v>
      </c>
      <c r="H33" s="26">
        <f>H35+H39+H40+H41+H42+H43+H45+H44</f>
        <v>151023.78200000004</v>
      </c>
      <c r="I33" s="26">
        <f>IF(H33&gt;0,ROUND(E33/H33*100,1),0)</f>
        <v>105.7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3"/>
        <v>0</v>
      </c>
      <c r="H34" s="28"/>
      <c r="I34" s="28"/>
    </row>
    <row r="35" spans="1:10" ht="15.75">
      <c r="A35" s="34"/>
      <c r="B35" s="223" t="s">
        <v>53</v>
      </c>
      <c r="C35" s="18" t="s">
        <v>37</v>
      </c>
      <c r="D35" s="28">
        <f>D37+D38</f>
        <v>1260.9877500000366</v>
      </c>
      <c r="E35" s="28">
        <f>E37+E38</f>
        <v>1833.6080970001276</v>
      </c>
      <c r="F35" s="28"/>
      <c r="G35" s="28">
        <f t="shared" si="3"/>
        <v>572.62034700009099</v>
      </c>
      <c r="H35" s="28">
        <v>23153.548000000039</v>
      </c>
      <c r="I35" s="28">
        <f>IF(H35&gt;0,ROUND(E35/H35*100,1),0)</f>
        <v>7.9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8"/>
      <c r="E36" s="28"/>
      <c r="F36" s="28"/>
      <c r="G36" s="28"/>
      <c r="H36" s="28"/>
      <c r="I36" s="28"/>
    </row>
    <row r="37" spans="1:10" ht="15.75">
      <c r="A37" s="34"/>
      <c r="B37" s="224" t="s">
        <v>55</v>
      </c>
      <c r="C37" s="18" t="s">
        <v>37</v>
      </c>
      <c r="D37" s="28"/>
      <c r="E37" s="28">
        <f>E96</f>
        <v>1833.6080970001276</v>
      </c>
      <c r="F37" s="28"/>
      <c r="G37" s="28"/>
      <c r="H37" s="28">
        <v>23153.548000000039</v>
      </c>
      <c r="I37" s="28"/>
    </row>
    <row r="38" spans="1:10" ht="15.75">
      <c r="A38" s="34"/>
      <c r="B38" s="224" t="s">
        <v>56</v>
      </c>
      <c r="C38" s="18" t="s">
        <v>37</v>
      </c>
      <c r="D38" s="28">
        <f>D96</f>
        <v>1260.9877500000366</v>
      </c>
      <c r="E38" s="28">
        <v>0</v>
      </c>
      <c r="F38" s="28"/>
      <c r="G38" s="28">
        <f t="shared" si="3"/>
        <v>-1260.9877500000366</v>
      </c>
      <c r="H38" s="28">
        <v>0</v>
      </c>
      <c r="I38" s="28"/>
    </row>
    <row r="39" spans="1:10" ht="15.75">
      <c r="A39" s="34"/>
      <c r="B39" s="223" t="s">
        <v>57</v>
      </c>
      <c r="C39" s="18" t="s">
        <v>37</v>
      </c>
      <c r="D39" s="28">
        <f>D129</f>
        <v>138751.70000000001</v>
      </c>
      <c r="E39" s="28">
        <f>E129</f>
        <v>157787.36394899999</v>
      </c>
      <c r="F39" s="28">
        <f t="shared" ref="F39" si="4">ROUND(E39/D39*100,1)</f>
        <v>113.7</v>
      </c>
      <c r="G39" s="28">
        <f t="shared" si="3"/>
        <v>19035.66394899998</v>
      </c>
      <c r="H39" s="27">
        <v>127870.234</v>
      </c>
      <c r="I39" s="28">
        <f>IF(H39&gt;0,ROUND(E39/H39*100,1),0)</f>
        <v>123.4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3"/>
        <v>0</v>
      </c>
      <c r="H40" s="28"/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3"/>
        <v>0</v>
      </c>
      <c r="H41" s="28"/>
      <c r="I41" s="28"/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3"/>
        <v>0</v>
      </c>
      <c r="H42" s="18"/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3"/>
        <v>0</v>
      </c>
      <c r="H43" s="18"/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3"/>
        <v>0</v>
      </c>
      <c r="H44" s="18"/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18"/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67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76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84</v>
      </c>
      <c r="B59" s="220" t="s">
        <v>85</v>
      </c>
      <c r="C59" s="18" t="s">
        <v>86</v>
      </c>
      <c r="D59" s="28">
        <v>6329</v>
      </c>
      <c r="E59" s="28">
        <v>5620</v>
      </c>
      <c r="F59" s="28">
        <f>ROUND(E59/D59*100,1)</f>
        <v>88.8</v>
      </c>
      <c r="G59" s="28">
        <f>E59-D59</f>
        <v>-709</v>
      </c>
      <c r="H59" s="28">
        <v>5595</v>
      </c>
      <c r="I59" s="28">
        <f t="shared" ref="I59:I64" si="5">IF(H59&gt;0,ROUND(E59/H59*100,1),0)</f>
        <v>100.4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5"/>
        <v>0</v>
      </c>
    </row>
    <row r="61" spans="1:12" ht="15.75" collapsed="1">
      <c r="A61" s="34" t="s">
        <v>91</v>
      </c>
      <c r="B61" s="220" t="s">
        <v>92</v>
      </c>
      <c r="C61" s="18" t="s">
        <v>37</v>
      </c>
      <c r="D61" s="33">
        <v>373135.6</v>
      </c>
      <c r="E61" s="33">
        <v>354745.8</v>
      </c>
      <c r="F61" s="28">
        <f>ROUND(E61/D61*100,1)</f>
        <v>95.1</v>
      </c>
      <c r="G61" s="28">
        <f>E61-D61</f>
        <v>-18389.799999999988</v>
      </c>
      <c r="H61" s="33">
        <v>295572.3</v>
      </c>
      <c r="I61" s="28">
        <f t="shared" si="5"/>
        <v>120</v>
      </c>
      <c r="J61" t="s">
        <v>87</v>
      </c>
    </row>
    <row r="62" spans="1:12" ht="15.75">
      <c r="A62" s="34" t="s">
        <v>93</v>
      </c>
      <c r="B62" s="220" t="s">
        <v>94</v>
      </c>
      <c r="C62" s="18" t="s">
        <v>95</v>
      </c>
      <c r="D62" s="178">
        <v>6550.7</v>
      </c>
      <c r="E62" s="178">
        <v>6992.3</v>
      </c>
      <c r="F62" s="28">
        <f>ROUND(E62/D62*100,1)</f>
        <v>106.7</v>
      </c>
      <c r="G62" s="28">
        <f>E62-D62</f>
        <v>441.60000000000036</v>
      </c>
      <c r="H62" s="178">
        <v>5840.7</v>
      </c>
      <c r="I62" s="28">
        <f t="shared" si="5"/>
        <v>119.7</v>
      </c>
      <c r="J62" t="s">
        <v>87</v>
      </c>
      <c r="L62">
        <v>563699649</v>
      </c>
    </row>
    <row r="63" spans="1:12" ht="15.75" hidden="1" outlineLevel="1">
      <c r="A63" s="34" t="s">
        <v>96</v>
      </c>
      <c r="B63" s="220" t="s">
        <v>97</v>
      </c>
      <c r="C63" s="18" t="s">
        <v>37</v>
      </c>
      <c r="D63" s="18"/>
      <c r="E63" s="18"/>
      <c r="F63" s="28"/>
      <c r="G63" s="18"/>
      <c r="H63" s="18"/>
      <c r="I63" s="18">
        <f t="shared" si="5"/>
        <v>0</v>
      </c>
      <c r="J63" t="s">
        <v>58</v>
      </c>
      <c r="L63">
        <v>461145397.5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58"/>
      <c r="I64" s="59">
        <f t="shared" si="5"/>
        <v>0</v>
      </c>
      <c r="J64" s="31"/>
    </row>
    <row r="65" spans="1:13" ht="15.75" collapsed="1">
      <c r="A65" s="34" t="s">
        <v>100</v>
      </c>
      <c r="B65" s="220" t="s">
        <v>101</v>
      </c>
      <c r="C65" s="18" t="s">
        <v>102</v>
      </c>
      <c r="D65" s="60">
        <v>231189.89</v>
      </c>
      <c r="E65" s="28">
        <v>218728.62</v>
      </c>
      <c r="F65" s="28">
        <f>ROUND(E65/D65*100,1)</f>
        <v>94.6</v>
      </c>
      <c r="G65" s="28">
        <f>E65-D65</f>
        <v>-12461.270000000019</v>
      </c>
      <c r="H65" s="28">
        <v>186421</v>
      </c>
      <c r="I65" s="28">
        <f>ROUND(E65/H65*100,1)</f>
        <v>117.3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107</v>
      </c>
      <c r="B70" s="220" t="s">
        <v>108</v>
      </c>
      <c r="C70" s="18" t="s">
        <v>37</v>
      </c>
      <c r="D70" s="28">
        <v>1379928.8</v>
      </c>
      <c r="E70" s="28">
        <v>1104048.9965860001</v>
      </c>
      <c r="F70" s="18">
        <f t="shared" ref="F70:F96" si="6">ROUND(E70/D70*100,1)</f>
        <v>80</v>
      </c>
      <c r="G70" s="18">
        <f>E70-D70</f>
        <v>-275879.80341399997</v>
      </c>
      <c r="H70" s="18">
        <v>1078980.5900000001</v>
      </c>
      <c r="I70" s="18">
        <f>ROUND(E70/H70*100,1)</f>
        <v>102.3</v>
      </c>
      <c r="J70" t="s">
        <v>103</v>
      </c>
      <c r="M70">
        <f>1759313-152984-76292-1017231</f>
        <v>512806</v>
      </c>
    </row>
    <row r="71" spans="1:13" ht="15.75">
      <c r="A71" s="34" t="s">
        <v>109</v>
      </c>
      <c r="B71" s="220" t="s">
        <v>110</v>
      </c>
      <c r="C71" s="18" t="s">
        <v>37</v>
      </c>
      <c r="D71" s="28">
        <v>1086808.5</v>
      </c>
      <c r="E71" s="18">
        <v>855654.22172599996</v>
      </c>
      <c r="F71" s="18">
        <f t="shared" si="6"/>
        <v>78.7</v>
      </c>
      <c r="G71" s="18">
        <f>E71-D71</f>
        <v>-231154.27827400004</v>
      </c>
      <c r="H71" s="18">
        <v>740729.60900000005</v>
      </c>
      <c r="I71" s="18">
        <f t="shared" ref="I71:I85" si="7">ROUND(E71/H71*100,1)</f>
        <v>115.5</v>
      </c>
      <c r="J71" t="s">
        <v>103</v>
      </c>
    </row>
    <row r="72" spans="1:13" ht="15.75">
      <c r="A72" s="34" t="s">
        <v>111</v>
      </c>
      <c r="B72" s="220" t="s">
        <v>112</v>
      </c>
      <c r="C72" s="18" t="s">
        <v>37</v>
      </c>
      <c r="D72" s="33">
        <f>D70-D71</f>
        <v>293120.30000000005</v>
      </c>
      <c r="E72" s="33">
        <f>E70-E71</f>
        <v>248394.77486000012</v>
      </c>
      <c r="F72" s="34">
        <f t="shared" si="6"/>
        <v>84.7</v>
      </c>
      <c r="G72" s="18">
        <f>E72-D72</f>
        <v>-44725.525139999925</v>
      </c>
      <c r="H72" s="34">
        <v>338250.98100000003</v>
      </c>
      <c r="I72" s="34">
        <f t="shared" si="7"/>
        <v>73.400000000000006</v>
      </c>
      <c r="J72" t="s">
        <v>103</v>
      </c>
      <c r="M72" s="11">
        <f>D72-D73</f>
        <v>113382.89000000004</v>
      </c>
    </row>
    <row r="73" spans="1:13" ht="15.75">
      <c r="A73" s="34"/>
      <c r="B73" s="227" t="s">
        <v>113</v>
      </c>
      <c r="C73" s="18" t="s">
        <v>37</v>
      </c>
      <c r="D73" s="26">
        <f>D74+D75+D76</f>
        <v>179737.41</v>
      </c>
      <c r="E73" s="6">
        <f>E74+E75+E76</f>
        <v>214859.34398800001</v>
      </c>
      <c r="F73" s="6">
        <f t="shared" si="6"/>
        <v>119.5</v>
      </c>
      <c r="G73" s="6">
        <f t="shared" ref="G73:G96" si="8">E73-D73</f>
        <v>35121.933988000004</v>
      </c>
      <c r="H73" s="26">
        <v>232794.23300000001</v>
      </c>
      <c r="I73" s="6">
        <f t="shared" si="7"/>
        <v>92.3</v>
      </c>
      <c r="J73" t="s">
        <v>103</v>
      </c>
      <c r="M73" s="11">
        <f>M72+D77</f>
        <v>113382.89000000004</v>
      </c>
    </row>
    <row r="74" spans="1:13" ht="15.75">
      <c r="A74" s="34"/>
      <c r="B74" s="228" t="s">
        <v>114</v>
      </c>
      <c r="C74" s="18" t="s">
        <v>37</v>
      </c>
      <c r="D74" s="28">
        <v>5734.3069999999998</v>
      </c>
      <c r="E74" s="34">
        <v>9742.3947889999999</v>
      </c>
      <c r="F74" s="34">
        <f t="shared" si="6"/>
        <v>169.9</v>
      </c>
      <c r="G74" s="18">
        <f t="shared" si="8"/>
        <v>4008.0877890000002</v>
      </c>
      <c r="H74" s="34">
        <v>11021.045</v>
      </c>
      <c r="I74" s="34">
        <f t="shared" si="7"/>
        <v>88.4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51937.063999999998</v>
      </c>
      <c r="E75" s="34">
        <v>53266.836732000003</v>
      </c>
      <c r="F75" s="18">
        <f t="shared" si="6"/>
        <v>102.6</v>
      </c>
      <c r="G75" s="18">
        <f t="shared" si="8"/>
        <v>1329.7727320000049</v>
      </c>
      <c r="H75" s="18">
        <v>55460.785000000003</v>
      </c>
      <c r="I75" s="18">
        <f t="shared" si="7"/>
        <v>96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122066.039</v>
      </c>
      <c r="E76" s="34">
        <v>151850.112467</v>
      </c>
      <c r="F76" s="18">
        <f t="shared" si="6"/>
        <v>124.4</v>
      </c>
      <c r="G76" s="18">
        <f t="shared" si="8"/>
        <v>29784.073466999995</v>
      </c>
      <c r="H76" s="18">
        <v>166312.40299999999</v>
      </c>
      <c r="I76" s="18">
        <f t="shared" si="7"/>
        <v>91.3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34">
        <v>47952.037764000001</v>
      </c>
      <c r="F77" s="18"/>
      <c r="G77" s="18">
        <f t="shared" si="8"/>
        <v>47952.037764000001</v>
      </c>
      <c r="H77" s="18">
        <v>62837.368999999999</v>
      </c>
      <c r="I77" s="18">
        <f t="shared" si="7"/>
        <v>76.3</v>
      </c>
      <c r="J77" t="s">
        <v>103</v>
      </c>
    </row>
    <row r="78" spans="1:13" ht="15.75">
      <c r="A78" s="34"/>
      <c r="B78" s="220" t="s">
        <v>118</v>
      </c>
      <c r="C78" s="18" t="s">
        <v>37</v>
      </c>
      <c r="D78" s="28">
        <f>('[7]РасчПрибРеалВсего '!$C$72+'[7]РасчПрибРеалВсего '!$E$72)/1000</f>
        <v>111899.375</v>
      </c>
      <c r="E78" s="34">
        <v>75595.884825999994</v>
      </c>
      <c r="F78" s="18">
        <f t="shared" si="6"/>
        <v>67.599999999999994</v>
      </c>
      <c r="G78" s="18">
        <f t="shared" si="8"/>
        <v>-36303.490174000006</v>
      </c>
      <c r="H78" s="18">
        <v>137927.89499999999</v>
      </c>
      <c r="I78" s="18">
        <f t="shared" si="7"/>
        <v>54.8</v>
      </c>
      <c r="J78" t="s">
        <v>103</v>
      </c>
    </row>
    <row r="79" spans="1:13" ht="15.75" hidden="1" outlineLevel="1">
      <c r="A79" s="34"/>
      <c r="B79" s="220" t="s">
        <v>119</v>
      </c>
      <c r="C79" s="18" t="s">
        <v>37</v>
      </c>
      <c r="D79" s="33"/>
      <c r="E79" s="34"/>
      <c r="F79" s="18" t="e">
        <f t="shared" si="6"/>
        <v>#DIV/0!</v>
      </c>
      <c r="G79" s="18">
        <f t="shared" si="8"/>
        <v>0</v>
      </c>
      <c r="H79" s="58"/>
      <c r="I79" s="18" t="e">
        <f t="shared" si="7"/>
        <v>#DIV/0!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6"/>
        <v>#DIV/0!</v>
      </c>
      <c r="G80" s="18">
        <f t="shared" si="8"/>
        <v>0</v>
      </c>
      <c r="H80" s="58"/>
      <c r="I80" s="18" t="e">
        <f t="shared" si="7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6"/>
        <v>#DIV/0!</v>
      </c>
      <c r="G81" s="18">
        <f t="shared" si="8"/>
        <v>0</v>
      </c>
      <c r="H81" s="58"/>
      <c r="I81" s="18" t="e">
        <f t="shared" si="7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6"/>
        <v>#DIV/0!</v>
      </c>
      <c r="G82" s="18">
        <f t="shared" si="8"/>
        <v>0</v>
      </c>
      <c r="H82" s="58"/>
      <c r="I82" s="18" t="e">
        <f t="shared" si="7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6"/>
        <v>#DIV/0!</v>
      </c>
      <c r="G83" s="18">
        <f t="shared" si="8"/>
        <v>0</v>
      </c>
      <c r="H83" s="58"/>
      <c r="I83" s="18" t="e">
        <f t="shared" si="7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6"/>
        <v>#DIV/0!</v>
      </c>
      <c r="G84" s="18">
        <f t="shared" si="8"/>
        <v>0</v>
      </c>
      <c r="H84" s="58"/>
      <c r="I84" s="18" t="e">
        <f t="shared" si="7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6"/>
        <v>#DIV/0!</v>
      </c>
      <c r="G85" s="18">
        <f t="shared" si="8"/>
        <v>0</v>
      </c>
      <c r="H85" s="58"/>
      <c r="I85" s="18" t="e">
        <f t="shared" si="7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6"/>
        <v>#DIV/0!</v>
      </c>
      <c r="G86" s="18">
        <f t="shared" si="8"/>
        <v>0</v>
      </c>
      <c r="H86" s="58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6"/>
        <v>#DIV/0!</v>
      </c>
      <c r="G87" s="18">
        <f t="shared" si="8"/>
        <v>0</v>
      </c>
      <c r="H87" s="58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6"/>
        <v>#DIV/0!</v>
      </c>
      <c r="G88" s="18">
        <f t="shared" si="8"/>
        <v>0</v>
      </c>
      <c r="H88" s="58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D72-D73+D77-D78</f>
        <v>1483.5150000000431</v>
      </c>
      <c r="E89" s="6">
        <f>E72-E73+E77-E78</f>
        <v>5891.5838100001274</v>
      </c>
      <c r="F89" s="6">
        <f t="shared" si="6"/>
        <v>397.1</v>
      </c>
      <c r="G89" s="6">
        <f t="shared" si="8"/>
        <v>4408.0688100000843</v>
      </c>
      <c r="H89" s="62">
        <v>30366.222000000038</v>
      </c>
      <c r="I89" s="6">
        <f t="shared" ref="I89:I96" si="9">ROUND(E89/H89*100,1)</f>
        <v>19.399999999999999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/>
      <c r="E90" s="195">
        <v>0</v>
      </c>
      <c r="F90" s="195">
        <v>0</v>
      </c>
      <c r="G90" s="195">
        <v>0</v>
      </c>
      <c r="H90" s="195">
        <v>0</v>
      </c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8"/>
        <v>-15.822778173897415</v>
      </c>
      <c r="H91" s="34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1483.5150000000431</v>
      </c>
      <c r="E92" s="34">
        <f>E89</f>
        <v>5891.5838100001274</v>
      </c>
      <c r="F92" s="18">
        <f t="shared" si="6"/>
        <v>397.1</v>
      </c>
      <c r="G92" s="18">
        <f t="shared" si="8"/>
        <v>4408.0688100000843</v>
      </c>
      <c r="H92" s="34">
        <v>30366.222000000038</v>
      </c>
      <c r="I92" s="18">
        <f t="shared" si="9"/>
        <v>19.399999999999999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f>D92*15%</f>
        <v>222.52725000000646</v>
      </c>
      <c r="E93" s="195">
        <v>4057.9757129999998</v>
      </c>
      <c r="F93" s="195">
        <v>0</v>
      </c>
      <c r="G93" s="195">
        <v>0</v>
      </c>
      <c r="H93" s="195">
        <v>7212.674</v>
      </c>
      <c r="I93" s="195">
        <v>0</v>
      </c>
      <c r="J93" t="s">
        <v>103</v>
      </c>
    </row>
    <row r="94" spans="1:10" ht="15.75" hidden="1" outlineLevel="1">
      <c r="A94" s="34"/>
      <c r="B94" s="220" t="s">
        <v>130</v>
      </c>
      <c r="C94" s="18" t="s">
        <v>37</v>
      </c>
      <c r="D94" s="33"/>
      <c r="E94" s="34"/>
      <c r="F94" s="18" t="e">
        <f t="shared" si="6"/>
        <v>#DIV/0!</v>
      </c>
      <c r="G94" s="18">
        <f t="shared" si="8"/>
        <v>0</v>
      </c>
      <c r="H94" s="34"/>
      <c r="I94" s="18" t="e">
        <f t="shared" si="9"/>
        <v>#DIV/0!</v>
      </c>
      <c r="J94" t="s">
        <v>103</v>
      </c>
    </row>
    <row r="95" spans="1:10" ht="15.75" hidden="1" outlineLevel="2">
      <c r="A95" s="34"/>
      <c r="B95" s="220" t="s">
        <v>131</v>
      </c>
      <c r="C95" s="18" t="s">
        <v>37</v>
      </c>
      <c r="D95" s="33"/>
      <c r="E95" s="34"/>
      <c r="F95" s="18" t="e">
        <f t="shared" si="6"/>
        <v>#DIV/0!</v>
      </c>
      <c r="G95" s="18">
        <f t="shared" si="8"/>
        <v>0</v>
      </c>
      <c r="H95" s="34"/>
      <c r="I95" s="18" t="e">
        <f t="shared" si="9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1260.9877500000366</v>
      </c>
      <c r="E96" s="34">
        <f>E92-E93</f>
        <v>1833.6080970001276</v>
      </c>
      <c r="F96" s="18">
        <f t="shared" si="6"/>
        <v>145.4</v>
      </c>
      <c r="G96" s="18">
        <f t="shared" si="8"/>
        <v>572.62034700009099</v>
      </c>
      <c r="H96" s="34">
        <v>23153.548000000039</v>
      </c>
      <c r="I96" s="18">
        <f t="shared" si="9"/>
        <v>7.9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23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34" t="s">
        <v>136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29598.827250000006</v>
      </c>
      <c r="E102" s="6">
        <f>E103+E106</f>
        <v>33434.275712999995</v>
      </c>
      <c r="F102" s="6">
        <f>ROUND(E102/D102*100,1)</f>
        <v>113</v>
      </c>
      <c r="G102" s="6">
        <f>E102-D102</f>
        <v>3835.4484629999897</v>
      </c>
      <c r="H102" s="6">
        <v>-3223.1079999999993</v>
      </c>
      <c r="I102" s="6">
        <f>ROUND(E102/H102*100,1)</f>
        <v>-1037.3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222.52725000000646</v>
      </c>
      <c r="E103" s="195">
        <f>E93</f>
        <v>4057.9757129999998</v>
      </c>
      <c r="F103" s="195">
        <v>0</v>
      </c>
      <c r="G103" s="195">
        <v>0</v>
      </c>
      <c r="H103" s="195">
        <v>7212.6750000000002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0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>
        <f>E106</f>
        <v>29376.3</v>
      </c>
      <c r="E106" s="18">
        <v>29376.3</v>
      </c>
      <c r="F106" s="18">
        <f>ROUND(E106/D106*100,1)</f>
        <v>100</v>
      </c>
      <c r="G106" s="34">
        <f t="shared" si="10"/>
        <v>0</v>
      </c>
      <c r="H106" s="18">
        <v>-10435.782999999999</v>
      </c>
      <c r="I106" s="18">
        <f>ROUND(E106/H106*100,1)</f>
        <v>-281.5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67705.32699999999</v>
      </c>
      <c r="E107" s="6">
        <f>SUM(E108:E112)</f>
        <v>148707.1</v>
      </c>
      <c r="F107" s="6">
        <f>ROUND(E107/D107*100,1)</f>
        <v>219.6</v>
      </c>
      <c r="G107" s="6">
        <f t="shared" si="10"/>
        <v>81001.773000000016</v>
      </c>
      <c r="H107" s="6">
        <v>67758.175000000003</v>
      </c>
      <c r="I107" s="6">
        <f>IF(H107&gt;0,ROUND(E107/H107*100,1),0)</f>
        <v>219.5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>
        <v>78969.600000000006</v>
      </c>
      <c r="F108" s="6"/>
      <c r="G108" s="18">
        <f t="shared" si="10"/>
        <v>78969.600000000006</v>
      </c>
      <c r="H108" s="18"/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f>('[7]РеалВсего (с ТДЦ)'!$C$211+'[7]РеалВсего (с ТДЦ)'!$D$211+'[7]РеалВсего (с ТДЦ)'!$E$211)/1000</f>
        <v>1812.4269999999999</v>
      </c>
      <c r="E109" s="34">
        <v>2274.9</v>
      </c>
      <c r="F109" s="18">
        <f>ROUND(E109/D109*100,1)</f>
        <v>125.5</v>
      </c>
      <c r="G109" s="18">
        <f t="shared" si="10"/>
        <v>462.47300000000018</v>
      </c>
      <c r="H109" s="34">
        <v>1404.7819999999999</v>
      </c>
      <c r="I109" s="34">
        <f>ROUND(E109/H109*100,1)</f>
        <v>161.9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1105.2</v>
      </c>
      <c r="E110" s="34">
        <v>1211.3</v>
      </c>
      <c r="F110" s="18">
        <f>ROUND(E110/D110*100,1)</f>
        <v>109.6</v>
      </c>
      <c r="G110" s="18">
        <f t="shared" si="10"/>
        <v>106.09999999999991</v>
      </c>
      <c r="H110" s="34">
        <v>996.46100000000001</v>
      </c>
      <c r="I110" s="34">
        <f>ROUND(E110/H110*100,1)</f>
        <v>121.6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16815</v>
      </c>
      <c r="E111" s="34">
        <v>18573.8</v>
      </c>
      <c r="F111" s="18">
        <f>ROUND(E111/D111*100,1)</f>
        <v>110.5</v>
      </c>
      <c r="G111" s="18">
        <f t="shared" si="10"/>
        <v>1758.7999999999993</v>
      </c>
      <c r="H111" s="34">
        <v>16660.019</v>
      </c>
      <c r="I111" s="34">
        <f>ROUND(E111/H111*100,1)</f>
        <v>111.5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47972.7</v>
      </c>
      <c r="E112" s="34">
        <v>47677.5</v>
      </c>
      <c r="F112" s="18">
        <f>ROUND(E112/D112*100,1)</f>
        <v>99.4</v>
      </c>
      <c r="G112" s="18">
        <f t="shared" si="10"/>
        <v>-295.19999999999709</v>
      </c>
      <c r="H112" s="34">
        <v>48696.913</v>
      </c>
      <c r="I112" s="34">
        <f>ROUND(E112/H112*100,1)</f>
        <v>97.9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76003.01999999999</v>
      </c>
      <c r="E113" s="6">
        <f>SUM(E115:E120)</f>
        <v>45742.6</v>
      </c>
      <c r="F113" s="6">
        <f>ROUND(E113/D113*100,1)</f>
        <v>60.2</v>
      </c>
      <c r="G113" s="6">
        <f t="shared" si="10"/>
        <v>-30260.419999999991</v>
      </c>
      <c r="H113" s="6">
        <v>36401.487999999998</v>
      </c>
      <c r="I113" s="6">
        <f>ROUND(E113/H113*100,1)</f>
        <v>125.7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1" si="11">E115-D115</f>
        <v>0</v>
      </c>
      <c r="H115" s="18"/>
      <c r="I115" s="18" t="e">
        <f t="shared" ref="I115:I121" si="12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1"/>
        <v>0</v>
      </c>
      <c r="H116" s="18"/>
      <c r="I116" s="18" t="e">
        <f t="shared" si="12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f>D61*12%</f>
        <v>44776.271999999997</v>
      </c>
      <c r="E117" s="18">
        <v>44413.5</v>
      </c>
      <c r="F117" s="18">
        <f>ROUND(E117/D117*100,1)</f>
        <v>99.2</v>
      </c>
      <c r="G117" s="18">
        <f t="shared" si="11"/>
        <v>-362.77199999999721</v>
      </c>
      <c r="H117" s="18">
        <v>35298.144999999997</v>
      </c>
      <c r="I117" s="18">
        <f t="shared" si="12"/>
        <v>125.8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1375.9</v>
      </c>
      <c r="E118" s="35">
        <v>1329.1</v>
      </c>
      <c r="F118" s="18">
        <f>ROUND(E118/D118*100,1)</f>
        <v>96.6</v>
      </c>
      <c r="G118" s="35">
        <f t="shared" si="11"/>
        <v>-46.800000000000182</v>
      </c>
      <c r="H118" s="35">
        <v>1103.3430000000001</v>
      </c>
      <c r="I118" s="18">
        <f t="shared" si="12"/>
        <v>120.5</v>
      </c>
      <c r="J118" s="11" t="s">
        <v>139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1"/>
        <v>0</v>
      </c>
      <c r="H119" s="18"/>
      <c r="I119" s="18" t="e">
        <f t="shared" si="12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>
        <f>D61*8%</f>
        <v>29850.847999999998</v>
      </c>
      <c r="E120" s="18"/>
      <c r="F120" s="18">
        <f>ROUND(E120/D120*100,1)</f>
        <v>0</v>
      </c>
      <c r="G120" s="18">
        <f t="shared" si="11"/>
        <v>-29850.847999999998</v>
      </c>
      <c r="H120" s="18"/>
      <c r="I120" s="18" t="e">
        <f t="shared" si="12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173307.17424999998</v>
      </c>
      <c r="E121" s="6">
        <f>E102+E113+E107</f>
        <v>227883.97571299999</v>
      </c>
      <c r="F121" s="6">
        <f>ROUND(E121/D121*100,1)</f>
        <v>131.5</v>
      </c>
      <c r="G121" s="6">
        <f t="shared" si="11"/>
        <v>54576.801463000011</v>
      </c>
      <c r="H121" s="6">
        <v>100936.55499999999</v>
      </c>
      <c r="I121" s="6">
        <f t="shared" si="12"/>
        <v>225.8</v>
      </c>
      <c r="J121" s="11" t="s">
        <v>139</v>
      </c>
    </row>
    <row r="122" spans="1:13" ht="15.75">
      <c r="A122" s="34" t="s">
        <v>157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 collapsed="1">
      <c r="A125" s="34" t="s">
        <v>161</v>
      </c>
      <c r="B125" s="227" t="s">
        <v>162</v>
      </c>
      <c r="C125" s="18" t="s">
        <v>37</v>
      </c>
      <c r="D125" s="6">
        <f>SUM(D127:D130)</f>
        <v>1154656.5</v>
      </c>
      <c r="E125" s="6">
        <f>SUM(E127:E130)</f>
        <v>1104749.9559249999</v>
      </c>
      <c r="F125" s="6">
        <f t="shared" ref="F125:F130" si="13">ROUND(E125/D125*100,1)</f>
        <v>95.7</v>
      </c>
      <c r="G125" s="6">
        <f t="shared" ref="G125:G151" si="14">E125-D125</f>
        <v>-49906.5440750001</v>
      </c>
      <c r="H125" s="6">
        <v>894014.52300000004</v>
      </c>
      <c r="I125" s="6">
        <f>ROUND(E125/H125*100,1)</f>
        <v>123.6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4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671354.4</v>
      </c>
      <c r="E127" s="18">
        <v>628437.28303799999</v>
      </c>
      <c r="F127" s="18">
        <f t="shared" si="13"/>
        <v>93.6</v>
      </c>
      <c r="G127" s="18">
        <f t="shared" si="14"/>
        <v>-42917.116962000029</v>
      </c>
      <c r="H127" s="18">
        <v>498790.467</v>
      </c>
      <c r="I127" s="18">
        <f>ROUND(E127/H127*100,1)</f>
        <v>126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v>317207.5</v>
      </c>
      <c r="E128" s="18">
        <v>283336.90000000002</v>
      </c>
      <c r="F128" s="18">
        <f t="shared" si="13"/>
        <v>89.3</v>
      </c>
      <c r="G128" s="18">
        <f t="shared" si="14"/>
        <v>-33870.599999999977</v>
      </c>
      <c r="H128" s="18">
        <v>237966.19400000002</v>
      </c>
      <c r="I128" s="18">
        <f>ROUND(E128/H128*100,1)</f>
        <v>119.1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138751.70000000001</v>
      </c>
      <c r="E129" s="18">
        <v>157787.36394899999</v>
      </c>
      <c r="F129" s="18">
        <f t="shared" si="13"/>
        <v>113.7</v>
      </c>
      <c r="G129" s="18">
        <f t="shared" si="14"/>
        <v>19035.66394899998</v>
      </c>
      <c r="H129" s="18">
        <v>127870.234</v>
      </c>
      <c r="I129" s="18">
        <f>ROUND(E129/H129*100,1)</f>
        <v>123.4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27342.9</v>
      </c>
      <c r="E130" s="18">
        <v>35188.408938</v>
      </c>
      <c r="F130" s="18">
        <f t="shared" si="13"/>
        <v>128.69999999999999</v>
      </c>
      <c r="G130" s="18">
        <f t="shared" si="14"/>
        <v>7845.508937999999</v>
      </c>
      <c r="H130" s="18">
        <v>29387.628000000001</v>
      </c>
      <c r="I130" s="18">
        <f>ROUND(E130/H130*100,1)</f>
        <v>119.7</v>
      </c>
      <c r="J130" s="11" t="s">
        <v>139</v>
      </c>
    </row>
    <row r="131" spans="1:13" ht="23.25" customHeight="1">
      <c r="A131" s="18" t="s">
        <v>168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6"/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4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34">
        <v>2025389.9</v>
      </c>
      <c r="F133" s="34"/>
      <c r="G133" s="34">
        <f t="shared" si="14"/>
        <v>2025389.9</v>
      </c>
      <c r="H133" s="34">
        <v>2085297.156</v>
      </c>
      <c r="I133" s="34">
        <f>IF(H133&gt;0,ROUND(E133/H133*100,1),0)</f>
        <v>97.1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4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1283271.5</v>
      </c>
      <c r="F135" s="18"/>
      <c r="G135" s="18">
        <f t="shared" si="14"/>
        <v>1283271.5</v>
      </c>
      <c r="H135" s="18">
        <v>1398890.6780000001</v>
      </c>
      <c r="I135" s="18">
        <f t="shared" ref="I135:I143" si="15">IF(H135&gt;0,ROUND(E135/H135*100,1),0)</f>
        <v>91.7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33.655000000000001</v>
      </c>
      <c r="F136" s="18"/>
      <c r="G136" s="18">
        <f t="shared" si="14"/>
        <v>33.655000000000001</v>
      </c>
      <c r="H136" s="18">
        <v>45.469000000000001</v>
      </c>
      <c r="I136" s="18">
        <f t="shared" si="15"/>
        <v>74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v>1135137.3999999999</v>
      </c>
      <c r="F137" s="18"/>
      <c r="G137" s="18">
        <f t="shared" si="14"/>
        <v>1135137.3999999999</v>
      </c>
      <c r="H137" s="18">
        <v>1075652.804</v>
      </c>
      <c r="I137" s="18">
        <f t="shared" si="15"/>
        <v>105.5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4"/>
        <v>0</v>
      </c>
      <c r="H138" s="18"/>
      <c r="I138" s="18">
        <f t="shared" si="15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v>721322.1</v>
      </c>
      <c r="F139" s="18"/>
      <c r="G139" s="81">
        <f t="shared" si="14"/>
        <v>721322.1</v>
      </c>
      <c r="H139" s="81">
        <v>447824.81099999999</v>
      </c>
      <c r="I139" s="18">
        <f t="shared" si="15"/>
        <v>161.1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4"/>
        <v>0</v>
      </c>
      <c r="H140" s="18"/>
      <c r="I140" s="18">
        <f t="shared" si="15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175409.5</v>
      </c>
      <c r="F141" s="18"/>
      <c r="G141" s="18">
        <f t="shared" si="14"/>
        <v>175409.5</v>
      </c>
      <c r="H141" s="18">
        <v>174135.128</v>
      </c>
      <c r="I141" s="18">
        <f t="shared" si="15"/>
        <v>100.7</v>
      </c>
      <c r="K141" t="s">
        <v>170</v>
      </c>
      <c r="L141" t="s">
        <v>170</v>
      </c>
      <c r="M141" t="s">
        <v>182</v>
      </c>
    </row>
    <row r="142" spans="1:13" ht="15.75">
      <c r="A142" s="34"/>
      <c r="B142" s="228" t="s">
        <v>183</v>
      </c>
      <c r="C142" s="18" t="s">
        <v>37</v>
      </c>
      <c r="D142" s="18"/>
      <c r="E142" s="18">
        <v>542383.30000000005</v>
      </c>
      <c r="F142" s="18"/>
      <c r="G142" s="18">
        <f t="shared" si="14"/>
        <v>542383.30000000005</v>
      </c>
      <c r="H142" s="18">
        <v>266149.62599999999</v>
      </c>
      <c r="I142" s="18">
        <f t="shared" si="15"/>
        <v>203.8</v>
      </c>
      <c r="K142" t="s">
        <v>170</v>
      </c>
      <c r="L142" t="s">
        <v>170</v>
      </c>
      <c r="M142" t="s">
        <v>184</v>
      </c>
    </row>
    <row r="143" spans="1:13" ht="15.75">
      <c r="A143" s="34"/>
      <c r="B143" s="237" t="s">
        <v>185</v>
      </c>
      <c r="C143" s="18" t="s">
        <v>37</v>
      </c>
      <c r="D143" s="18"/>
      <c r="E143" s="18">
        <v>2065.6999999999998</v>
      </c>
      <c r="F143" s="18"/>
      <c r="G143" s="18">
        <f>E143-D143</f>
        <v>2065.6999999999998</v>
      </c>
      <c r="H143" s="18">
        <v>13681.132</v>
      </c>
      <c r="I143" s="18">
        <f t="shared" si="15"/>
        <v>15.1</v>
      </c>
      <c r="K143" t="s">
        <v>170</v>
      </c>
      <c r="L143" t="s">
        <v>170</v>
      </c>
      <c r="M143" t="s">
        <v>186</v>
      </c>
    </row>
    <row r="144" spans="1:13" ht="18" customHeight="1">
      <c r="A144" s="34"/>
      <c r="B144" s="34" t="s">
        <v>163</v>
      </c>
      <c r="C144" s="18" t="s">
        <v>37</v>
      </c>
      <c r="D144" s="18"/>
      <c r="E144" s="18"/>
      <c r="F144" s="18"/>
      <c r="G144" s="18">
        <f t="shared" si="14"/>
        <v>0</v>
      </c>
      <c r="H144" s="18"/>
      <c r="I144" s="18"/>
      <c r="K144" t="s">
        <v>170</v>
      </c>
      <c r="L144" t="s">
        <v>170</v>
      </c>
    </row>
    <row r="145" spans="1:12" ht="15.75">
      <c r="A145" s="34"/>
      <c r="B145" s="224" t="s">
        <v>187</v>
      </c>
      <c r="C145" s="18" t="s">
        <v>37</v>
      </c>
      <c r="D145" s="18"/>
      <c r="E145" s="18"/>
      <c r="F145" s="18"/>
      <c r="G145" s="18">
        <f t="shared" si="14"/>
        <v>0</v>
      </c>
      <c r="H145" s="18"/>
      <c r="I145" s="18">
        <f>IF(H145&gt;0,ROUND(E145/H145*100,1),0)</f>
        <v>0</v>
      </c>
      <c r="K145" t="s">
        <v>170</v>
      </c>
    </row>
    <row r="146" spans="1:12" ht="18.75" hidden="1" customHeight="1" outlineLevel="1">
      <c r="A146" s="34" t="s">
        <v>188</v>
      </c>
      <c r="B146" s="220" t="s">
        <v>189</v>
      </c>
      <c r="C146" s="18" t="s">
        <v>37</v>
      </c>
      <c r="D146" s="18"/>
      <c r="E146" s="18"/>
      <c r="F146" s="18"/>
      <c r="G146" s="18">
        <f>E146-D146</f>
        <v>0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34">
        <v>30</v>
      </c>
      <c r="B147" s="220" t="s">
        <v>190</v>
      </c>
      <c r="C147" s="18" t="s">
        <v>37</v>
      </c>
      <c r="D147" s="18"/>
      <c r="E147" s="18">
        <v>290022</v>
      </c>
      <c r="F147" s="18"/>
      <c r="G147" s="18">
        <f>E147-D147</f>
        <v>290022</v>
      </c>
      <c r="H147" s="18">
        <v>507994.01899999997</v>
      </c>
      <c r="I147" s="18">
        <f>ROUND(E147/H147*100,1)</f>
        <v>57.1</v>
      </c>
      <c r="K147" t="s">
        <v>170</v>
      </c>
      <c r="L147" t="s">
        <v>191</v>
      </c>
    </row>
    <row r="148" spans="1:12" ht="15.75" hidden="1" outlineLevel="1">
      <c r="A148" s="34"/>
      <c r="B148" s="34" t="s">
        <v>12</v>
      </c>
      <c r="C148" s="18" t="s">
        <v>37</v>
      </c>
      <c r="D148" s="18"/>
      <c r="E148" s="18"/>
      <c r="F148" s="18"/>
      <c r="G148" s="18">
        <f t="shared" si="14"/>
        <v>0</v>
      </c>
      <c r="H148" s="18"/>
      <c r="I148" s="18"/>
      <c r="K148" t="s">
        <v>170</v>
      </c>
    </row>
    <row r="149" spans="1:12" ht="15.75" hidden="1" outlineLevel="1">
      <c r="A149" s="34"/>
      <c r="B149" s="220" t="s">
        <v>192</v>
      </c>
      <c r="C149" s="18" t="s">
        <v>37</v>
      </c>
      <c r="D149" s="18"/>
      <c r="E149" s="18"/>
      <c r="F149" s="18"/>
      <c r="G149" s="18">
        <f t="shared" si="14"/>
        <v>0</v>
      </c>
      <c r="H149" s="18"/>
      <c r="I149" s="18"/>
      <c r="K149" t="s">
        <v>170</v>
      </c>
    </row>
    <row r="150" spans="1:12" ht="15.75" hidden="1" outlineLevel="1">
      <c r="A150" s="34"/>
      <c r="B150" s="220" t="s">
        <v>193</v>
      </c>
      <c r="C150" s="18" t="s">
        <v>37</v>
      </c>
      <c r="D150" s="18"/>
      <c r="E150" s="18"/>
      <c r="F150" s="18"/>
      <c r="G150" s="18">
        <f t="shared" si="14"/>
        <v>0</v>
      </c>
      <c r="H150" s="18"/>
      <c r="I150" s="18" t="e">
        <f>ROUND(E150/H150*100,1)</f>
        <v>#DIV/0!</v>
      </c>
      <c r="K150" t="s">
        <v>170</v>
      </c>
    </row>
    <row r="151" spans="1:12" ht="15.75" collapsed="1">
      <c r="A151" s="34">
        <v>31</v>
      </c>
      <c r="B151" s="220" t="s">
        <v>194</v>
      </c>
      <c r="C151" s="18" t="s">
        <v>37</v>
      </c>
      <c r="D151" s="18"/>
      <c r="E151" s="18">
        <v>615508.6</v>
      </c>
      <c r="F151" s="18"/>
      <c r="G151" s="18">
        <f t="shared" si="14"/>
        <v>615508.6</v>
      </c>
      <c r="H151" s="18">
        <v>405698.9</v>
      </c>
      <c r="I151" s="18">
        <f>ROUND(E151/H151*100,1)</f>
        <v>151.69999999999999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34">
        <f>'[6]1-полугод 2023 г. без.сп.над '!E152</f>
        <v>0</v>
      </c>
      <c r="F152" s="40"/>
      <c r="G152" s="40"/>
      <c r="H152" s="41"/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34">
        <f>'[6]1-полугод 2023 г. без.сп.над '!E153</f>
        <v>0</v>
      </c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34">
        <f>'[6]1-полугод 2023 г. без.сп.над '!E154</f>
        <v>0</v>
      </c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34">
        <f>'[6]1-полугод 2023 г. без.сп.над '!E155</f>
        <v>0</v>
      </c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34">
        <f>'[6]1-полугод 2023 г. без.сп.над '!E156</f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34">
        <f>'[6]1-полугод 2023 г. без.сп.над '!E157</f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34">
        <f>'[6]1-полугод 2023 г. без.сп.над '!E158</f>
        <v>0</v>
      </c>
      <c r="F158" s="40"/>
      <c r="G158" s="40"/>
      <c r="H158" s="41"/>
      <c r="I158" s="40" t="e">
        <f>ROUND(E158/H158*100,1)</f>
        <v>#DIV/0!</v>
      </c>
    </row>
    <row r="159" spans="1:12" ht="48.75" customHeight="1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'[4]2019'!$G$164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'[5]2019'!B168</f>
        <v>Начальник ОЭАиП</v>
      </c>
      <c r="C166" s="46"/>
      <c r="D166" s="46"/>
      <c r="E166" s="46"/>
      <c r="F166" s="48"/>
      <c r="G166" s="46" t="s">
        <v>251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B169" s="207" t="s">
        <v>243</v>
      </c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1"/>
  <sheetViews>
    <sheetView showZeros="0" tabSelected="1" view="pageBreakPreview" zoomScale="90" zoomScaleNormal="100" zoomScaleSheetLayoutView="90" workbookViewId="0">
      <pane ySplit="3" topLeftCell="A51" activePane="bottomLeft" state="frozen"/>
      <selection activeCell="K11" sqref="K11"/>
      <selection pane="bottomLeft" activeCell="S59" sqref="S59"/>
    </sheetView>
  </sheetViews>
  <sheetFormatPr defaultRowHeight="12.75" outlineLevelRow="1" outlineLevelCol="1"/>
  <cols>
    <col min="1" max="1" width="6.140625" bestFit="1" customWidth="1"/>
    <col min="2" max="2" width="56.140625" customWidth="1"/>
    <col min="3" max="3" width="10" customWidth="1" outlineLevel="1"/>
    <col min="4" max="4" width="11.85546875" customWidth="1" outlineLevel="1"/>
    <col min="5" max="5" width="13.42578125" customWidth="1" outlineLevel="1"/>
    <col min="6" max="6" width="9.7109375" customWidth="1" outlineLevel="1"/>
    <col min="7" max="7" width="12.42578125" customWidth="1" outlineLevel="1"/>
    <col min="8" max="8" width="13.28515625" customWidth="1"/>
    <col min="9" max="9" width="11.140625" customWidth="1"/>
    <col min="10" max="10" width="8.7109375" hidden="1" customWidth="1" outlineLevel="1"/>
    <col min="11" max="11" width="13.28515625" hidden="1" customWidth="1" outlineLevel="1"/>
    <col min="12" max="12" width="12.42578125" hidden="1" customWidth="1" outlineLevel="1"/>
    <col min="13" max="13" width="13.5703125" hidden="1" customWidth="1" outlineLevel="1"/>
    <col min="14" max="14" width="12" hidden="1" customWidth="1" outlineLevel="1"/>
    <col min="15" max="15" width="9.140625" collapsed="1"/>
  </cols>
  <sheetData>
    <row r="1" spans="1:10" ht="48" customHeight="1">
      <c r="A1" s="282" t="s">
        <v>299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300</v>
      </c>
      <c r="E2" s="289"/>
      <c r="F2" s="289"/>
      <c r="G2" s="289"/>
      <c r="H2" s="290" t="s">
        <v>301</v>
      </c>
      <c r="I2" s="288" t="s">
        <v>3</v>
      </c>
    </row>
    <row r="3" spans="1:10" ht="29.45" customHeight="1">
      <c r="A3" s="286"/>
      <c r="B3" s="287"/>
      <c r="C3" s="287"/>
      <c r="D3" s="274" t="s">
        <v>4</v>
      </c>
      <c r="E3" s="273" t="s">
        <v>282</v>
      </c>
      <c r="F3" s="273" t="s">
        <v>6</v>
      </c>
      <c r="G3" s="273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76">
        <f>D7+D8+D9</f>
        <v>6800</v>
      </c>
      <c r="E5" s="276">
        <f>E7+E8+E9</f>
        <v>7137.0806400000001</v>
      </c>
      <c r="F5" s="276">
        <f>ROUND(E5/D5*100,1)</f>
        <v>105</v>
      </c>
      <c r="G5" s="276">
        <f>E5-D5</f>
        <v>337.08064000000013</v>
      </c>
      <c r="H5" s="276">
        <f>H7+H8+H9</f>
        <v>6765.9416000000001</v>
      </c>
      <c r="I5" s="6">
        <f>IF(H5&gt;0,ROUND(E5/H5*100,1),0)</f>
        <v>105.5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34"/>
      <c r="I6" s="7"/>
    </row>
    <row r="7" spans="1:10" ht="15.75">
      <c r="A7" s="7"/>
      <c r="B7" s="218" t="s">
        <v>13</v>
      </c>
      <c r="C7" s="7" t="s">
        <v>11</v>
      </c>
      <c r="D7" s="34">
        <v>5543</v>
      </c>
      <c r="E7" s="34">
        <v>5914.9776400000001</v>
      </c>
      <c r="F7" s="34">
        <f>ROUND(E7/D7*100,1)</f>
        <v>106.7</v>
      </c>
      <c r="G7" s="34">
        <f>E7-D7</f>
        <v>371.97764000000006</v>
      </c>
      <c r="H7" s="34">
        <v>5483.2356</v>
      </c>
      <c r="I7" s="9">
        <f>IF(H7&gt;0,ROUND(E7/H7*100,1),0)</f>
        <v>107.9</v>
      </c>
    </row>
    <row r="8" spans="1:10" ht="15.75">
      <c r="A8" s="7"/>
      <c r="B8" s="218" t="s">
        <v>14</v>
      </c>
      <c r="C8" s="7" t="s">
        <v>11</v>
      </c>
      <c r="D8" s="34">
        <v>57</v>
      </c>
      <c r="E8" s="34">
        <v>60.784999999999997</v>
      </c>
      <c r="F8" s="34">
        <f>ROUND(E8/D8*100,1)</f>
        <v>106.6</v>
      </c>
      <c r="G8" s="34">
        <f>E8-D8</f>
        <v>3.7849999999999966</v>
      </c>
      <c r="H8" s="34">
        <v>61.610999999999997</v>
      </c>
      <c r="I8" s="9">
        <f>IF(H8&gt;0,ROUND(E8/H8*100,1),0)</f>
        <v>98.7</v>
      </c>
    </row>
    <row r="9" spans="1:10" ht="15.75">
      <c r="A9" s="7"/>
      <c r="B9" s="218" t="s">
        <v>15</v>
      </c>
      <c r="C9" s="7" t="s">
        <v>11</v>
      </c>
      <c r="D9" s="34">
        <v>1200</v>
      </c>
      <c r="E9" s="34">
        <v>1161.318</v>
      </c>
      <c r="F9" s="34">
        <f>ROUND(E9/D9*100,1)</f>
        <v>96.8</v>
      </c>
      <c r="G9" s="34">
        <f>E9-D9</f>
        <v>-38.682000000000016</v>
      </c>
      <c r="H9" s="34">
        <v>1221.095</v>
      </c>
      <c r="I9" s="9">
        <f>IF(H9&gt;0,ROUND(E9/H9*100,1),0)</f>
        <v>95.1</v>
      </c>
    </row>
    <row r="10" spans="1:10" ht="15.75">
      <c r="A10" s="7" t="s">
        <v>16</v>
      </c>
      <c r="B10" s="217" t="s">
        <v>17</v>
      </c>
      <c r="C10" s="275" t="s">
        <v>11</v>
      </c>
      <c r="D10" s="6">
        <f>D12+D13</f>
        <v>850</v>
      </c>
      <c r="E10" s="6">
        <f>E12+E13</f>
        <v>466.75191999999998</v>
      </c>
      <c r="F10" s="276">
        <f>ROUND(E10/D10*100,1)</f>
        <v>54.9</v>
      </c>
      <c r="G10" s="276">
        <f>E10-D10</f>
        <v>-383.24808000000002</v>
      </c>
      <c r="H10" s="6">
        <f>H12+H13</f>
        <v>412.755</v>
      </c>
      <c r="I10" s="275">
        <f t="shared" ref="I10:I28" si="0">IF(H10&gt;0,ROUND(E10/H10*100,1),0)</f>
        <v>113.1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34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500</v>
      </c>
      <c r="E12" s="34">
        <v>239.16163</v>
      </c>
      <c r="F12" s="34">
        <f>ROUND(E12/D12*100,1)</f>
        <v>47.8</v>
      </c>
      <c r="G12" s="34">
        <f>E12-D12</f>
        <v>-260.83837</v>
      </c>
      <c r="H12" s="34">
        <v>225.36600000000001</v>
      </c>
      <c r="I12" s="9">
        <f t="shared" si="0"/>
        <v>106.1</v>
      </c>
    </row>
    <row r="13" spans="1:10" ht="15.75">
      <c r="A13" s="7"/>
      <c r="B13" s="218" t="s">
        <v>19</v>
      </c>
      <c r="C13" s="7" t="s">
        <v>11</v>
      </c>
      <c r="D13" s="34">
        <v>350</v>
      </c>
      <c r="E13" s="34">
        <f>75.34951+152.24078</f>
        <v>227.59028999999998</v>
      </c>
      <c r="F13" s="34">
        <f>ROUND(E13/D13*100,1)</f>
        <v>65</v>
      </c>
      <c r="G13" s="34">
        <f>E13-D13</f>
        <v>-122.40971000000002</v>
      </c>
      <c r="H13" s="34">
        <v>187.38900000000001</v>
      </c>
      <c r="I13" s="9">
        <f t="shared" si="0"/>
        <v>121.5</v>
      </c>
    </row>
    <row r="14" spans="1:10" ht="15.75">
      <c r="A14" s="7" t="s">
        <v>20</v>
      </c>
      <c r="B14" s="217" t="s">
        <v>21</v>
      </c>
      <c r="C14" s="89" t="s">
        <v>11</v>
      </c>
      <c r="D14" s="276">
        <f>D16+D17+D18</f>
        <v>6761.5</v>
      </c>
      <c r="E14" s="276">
        <f>E16+E17+E18</f>
        <v>6267.4153000000006</v>
      </c>
      <c r="F14" s="276">
        <f>ROUND(E14/D14*100,1)</f>
        <v>92.7</v>
      </c>
      <c r="G14" s="276">
        <f>E14-D14</f>
        <v>-494.08469999999943</v>
      </c>
      <c r="H14" s="276">
        <f>H16+H17+H18</f>
        <v>5882.6799000000001</v>
      </c>
      <c r="I14" s="9">
        <f t="shared" si="0"/>
        <v>106.5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34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5504.5</v>
      </c>
      <c r="E16" s="34">
        <v>5014.2139999999999</v>
      </c>
      <c r="F16" s="34">
        <f>ROUND(E16/D16*100,1)</f>
        <v>91.1</v>
      </c>
      <c r="G16" s="34">
        <f>E16-D16</f>
        <v>-490.28600000000006</v>
      </c>
      <c r="H16" s="34">
        <v>4910.9598999999998</v>
      </c>
      <c r="I16" s="9">
        <f t="shared" si="0"/>
        <v>102.1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57</v>
      </c>
      <c r="E17" s="34">
        <v>58.953000000000003</v>
      </c>
      <c r="F17" s="34">
        <f>ROUND(E17/D17*100,1)</f>
        <v>103.4</v>
      </c>
      <c r="G17" s="34">
        <f>E17-D17</f>
        <v>1.953000000000003</v>
      </c>
      <c r="H17" s="34">
        <v>61.372</v>
      </c>
      <c r="I17" s="9">
        <f t="shared" si="0"/>
        <v>96.1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276">
        <v>1200</v>
      </c>
      <c r="E18" s="276">
        <v>1194.2483</v>
      </c>
      <c r="F18" s="34">
        <f>ROUND(E18/D18*100,1)</f>
        <v>99.5</v>
      </c>
      <c r="G18" s="34">
        <f>E18-D18</f>
        <v>-5.751700000000028</v>
      </c>
      <c r="H18" s="34">
        <v>910.34799999999996</v>
      </c>
      <c r="I18" s="9">
        <f t="shared" si="0"/>
        <v>131.19999999999999</v>
      </c>
    </row>
    <row r="19" spans="1:12" ht="18.75">
      <c r="A19" s="7" t="s">
        <v>23</v>
      </c>
      <c r="B19" s="217" t="s">
        <v>24</v>
      </c>
      <c r="C19" s="89" t="s">
        <v>25</v>
      </c>
      <c r="D19" s="276">
        <f>D21+D22+D24</f>
        <v>48750</v>
      </c>
      <c r="E19" s="276">
        <f>E21+E22+E24</f>
        <v>35804.074500000002</v>
      </c>
      <c r="F19" s="276">
        <f>ROUND(E19/D19*100,1)</f>
        <v>73.400000000000006</v>
      </c>
      <c r="G19" s="276">
        <f>E19-D19</f>
        <v>-12945.925499999998</v>
      </c>
      <c r="H19" s="276">
        <f>H21+H22+H23+H24</f>
        <v>28099.576000000001</v>
      </c>
      <c r="I19" s="9">
        <f t="shared" si="0"/>
        <v>127.4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34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5700</v>
      </c>
      <c r="E21" s="34">
        <v>5868.942</v>
      </c>
      <c r="F21" s="34">
        <f>ROUND(E21/D21*100,1)</f>
        <v>103</v>
      </c>
      <c r="G21" s="34">
        <f t="shared" ref="G21:G31" si="1">E21-D21</f>
        <v>168.94200000000001</v>
      </c>
      <c r="H21" s="34">
        <v>4509.0640000000003</v>
      </c>
      <c r="I21" s="9">
        <f t="shared" si="0"/>
        <v>130.19999999999999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43050</v>
      </c>
      <c r="E22" s="34">
        <v>29935.1325</v>
      </c>
      <c r="F22" s="34">
        <f>ROUND(E22/D22*100,1)</f>
        <v>69.5</v>
      </c>
      <c r="G22" s="34">
        <f t="shared" si="1"/>
        <v>-13114.8675</v>
      </c>
      <c r="H22" s="34">
        <v>23590.511999999999</v>
      </c>
      <c r="I22" s="9">
        <f t="shared" si="0"/>
        <v>126.9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/>
      <c r="E24" s="195"/>
      <c r="F24" s="195">
        <v>0</v>
      </c>
      <c r="G24" s="195">
        <v>0</v>
      </c>
      <c r="H24" s="195"/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888</v>
      </c>
      <c r="E25" s="18">
        <v>2474</v>
      </c>
      <c r="F25" s="18">
        <f t="shared" ref="F25:F29" si="2">ROUND(E25/D25*100,1)</f>
        <v>278.60000000000002</v>
      </c>
      <c r="G25" s="18">
        <f t="shared" si="1"/>
        <v>1586</v>
      </c>
      <c r="H25" s="18">
        <v>1500</v>
      </c>
      <c r="I25" s="9">
        <f t="shared" si="0"/>
        <v>164.9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1673338.6629999999</v>
      </c>
      <c r="E26" s="18">
        <v>1730435.3589999999</v>
      </c>
      <c r="F26" s="18">
        <f t="shared" si="2"/>
        <v>103.4</v>
      </c>
      <c r="G26" s="18">
        <f t="shared" si="1"/>
        <v>57096.695999999996</v>
      </c>
      <c r="H26" s="18">
        <v>1638984.0220000001</v>
      </c>
      <c r="I26" s="18">
        <f t="shared" si="0"/>
        <v>105.6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639.10900000000004</v>
      </c>
      <c r="E27" s="242">
        <v>365.46300000000002</v>
      </c>
      <c r="F27" s="18">
        <f t="shared" si="2"/>
        <v>57.2</v>
      </c>
      <c r="G27" s="18">
        <f>E27-D27</f>
        <v>-273.64600000000002</v>
      </c>
      <c r="H27" s="242">
        <f>990/1000</f>
        <v>0.99</v>
      </c>
      <c r="I27" s="18">
        <f t="shared" si="0"/>
        <v>36915.5</v>
      </c>
      <c r="J27" t="s">
        <v>22</v>
      </c>
      <c r="K27"/>
    </row>
    <row r="28" spans="1:12" ht="31.5">
      <c r="A28" s="7" t="s">
        <v>39</v>
      </c>
      <c r="B28" s="219" t="s">
        <v>225</v>
      </c>
      <c r="C28" s="18" t="s">
        <v>37</v>
      </c>
      <c r="D28" s="18">
        <v>332920</v>
      </c>
      <c r="E28" s="18">
        <v>389825.54</v>
      </c>
      <c r="F28" s="18">
        <f t="shared" si="2"/>
        <v>117.1</v>
      </c>
      <c r="G28" s="18">
        <f t="shared" si="1"/>
        <v>56905.539999999979</v>
      </c>
      <c r="H28" s="18">
        <v>324050.06099999999</v>
      </c>
      <c r="I28" s="9">
        <f t="shared" si="0"/>
        <v>120.3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5826.6799999999994</v>
      </c>
      <c r="E29" s="18">
        <v>6099.1910000000007</v>
      </c>
      <c r="F29" s="18">
        <f t="shared" si="2"/>
        <v>104.7</v>
      </c>
      <c r="G29" s="18">
        <f t="shared" si="1"/>
        <v>272.51100000000133</v>
      </c>
      <c r="H29" s="18">
        <v>5718.6</v>
      </c>
      <c r="I29" s="9">
        <f>IF(H29&gt;0,ROUND(E29/H29*100,1),0)</f>
        <v>106.7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44</v>
      </c>
      <c r="B32" s="219" t="s">
        <v>48</v>
      </c>
      <c r="C32" s="18" t="s">
        <v>37</v>
      </c>
      <c r="D32" s="23"/>
      <c r="E32" s="23"/>
      <c r="F32" s="23"/>
      <c r="G32" s="23"/>
      <c r="H32" s="18">
        <v>0</v>
      </c>
      <c r="I32" s="18">
        <f>IF(H32&gt;0,ROUND(E32/H32*100,1),0)</f>
        <v>0</v>
      </c>
    </row>
    <row r="33" spans="1:10" ht="15.75">
      <c r="A33" s="7" t="s">
        <v>47</v>
      </c>
      <c r="B33" s="217" t="s">
        <v>50</v>
      </c>
      <c r="C33" s="18" t="s">
        <v>37</v>
      </c>
      <c r="D33" s="26">
        <f>D35+D39+D40+D41+D42+D43+D45+D44</f>
        <v>187266.43812400001</v>
      </c>
      <c r="E33" s="26">
        <f>E35+E39+E40+E41+E42+E43+E45+E44</f>
        <v>211830.353687</v>
      </c>
      <c r="F33" s="26">
        <f t="shared" ref="F33" si="3">ROUND(E33/D33*100,1)</f>
        <v>113.1</v>
      </c>
      <c r="G33" s="26">
        <f t="shared" ref="G33:G44" si="4">E33-D33</f>
        <v>24563.915562999988</v>
      </c>
      <c r="H33" s="26">
        <f>H35+H39+H40+H41+H42+H43+H45+H44</f>
        <v>214135.63899999991</v>
      </c>
      <c r="I33" s="26">
        <f>IF(H33&gt;0,ROUND(E33/H33*100,1),0)</f>
        <v>98.9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4"/>
        <v>0</v>
      </c>
      <c r="H34" s="28"/>
      <c r="I34" s="28"/>
    </row>
    <row r="35" spans="1:10" ht="15.75">
      <c r="A35" s="34"/>
      <c r="B35" s="223" t="s">
        <v>53</v>
      </c>
      <c r="C35" s="18" t="s">
        <v>37</v>
      </c>
      <c r="D35" s="28">
        <f>D37+D38</f>
        <v>1581.7101239999961</v>
      </c>
      <c r="E35" s="28">
        <f>E96</f>
        <v>563.91086499997436</v>
      </c>
      <c r="F35" s="28"/>
      <c r="G35" s="28">
        <f t="shared" si="4"/>
        <v>-1017.7992590000217</v>
      </c>
      <c r="H35" s="28">
        <f>H96</f>
        <v>36882.734999999891</v>
      </c>
      <c r="I35" s="28">
        <f>IF(H35&gt;0,ROUND(E35/H35*100,1),0)</f>
        <v>1.5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8"/>
      <c r="E36" s="28"/>
      <c r="F36" s="28"/>
      <c r="G36" s="28"/>
      <c r="H36" s="28"/>
      <c r="I36" s="28"/>
    </row>
    <row r="37" spans="1:10" ht="15.75">
      <c r="A37" s="34"/>
      <c r="B37" s="224" t="s">
        <v>55</v>
      </c>
      <c r="C37" s="18" t="s">
        <v>37</v>
      </c>
      <c r="D37" s="28">
        <f>D96</f>
        <v>1581.7101239999961</v>
      </c>
      <c r="E37" s="28">
        <f>E35</f>
        <v>563.91086499997436</v>
      </c>
      <c r="F37" s="28">
        <f t="shared" ref="F37" si="5">ROUND(E37/D37*100,1)</f>
        <v>35.700000000000003</v>
      </c>
      <c r="G37" s="28">
        <f t="shared" ref="G37" si="6">E37-D37</f>
        <v>-1017.7992590000217</v>
      </c>
      <c r="H37" s="28">
        <f>H35</f>
        <v>36882.734999999891</v>
      </c>
      <c r="I37" s="28">
        <f>IF(H37&gt;0,ROUND(E37/H37*100,1),0)</f>
        <v>1.5</v>
      </c>
    </row>
    <row r="38" spans="1:10" ht="15.75">
      <c r="A38" s="34"/>
      <c r="B38" s="224" t="s">
        <v>56</v>
      </c>
      <c r="C38" s="18" t="s">
        <v>37</v>
      </c>
      <c r="D38" s="28">
        <f>D97</f>
        <v>0</v>
      </c>
      <c r="E38" s="28">
        <v>0</v>
      </c>
      <c r="F38" s="28"/>
      <c r="G38" s="28">
        <f t="shared" si="4"/>
        <v>0</v>
      </c>
      <c r="H38" s="28">
        <v>0</v>
      </c>
      <c r="I38" s="28"/>
    </row>
    <row r="39" spans="1:10" ht="15.75">
      <c r="A39" s="34"/>
      <c r="B39" s="223" t="s">
        <v>57</v>
      </c>
      <c r="C39" s="18" t="s">
        <v>37</v>
      </c>
      <c r="D39" s="28">
        <f>D129</f>
        <v>185684.728</v>
      </c>
      <c r="E39" s="28">
        <f>E129</f>
        <v>211266.44282200001</v>
      </c>
      <c r="F39" s="28">
        <f t="shared" ref="F39" si="7">ROUND(E39/D39*100,1)</f>
        <v>113.8</v>
      </c>
      <c r="G39" s="28">
        <f t="shared" si="4"/>
        <v>25581.714822000009</v>
      </c>
      <c r="H39" s="28">
        <f>H129</f>
        <v>177252.90400000001</v>
      </c>
      <c r="I39" s="28">
        <f>IF(H39&gt;0,ROUND(E39/H39*100,1),0)</f>
        <v>119.2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4"/>
        <v>0</v>
      </c>
      <c r="H40" s="28"/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4"/>
        <v>0</v>
      </c>
      <c r="H41" s="28"/>
      <c r="I41" s="28"/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4"/>
        <v>0</v>
      </c>
      <c r="H42" s="18"/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4"/>
        <v>0</v>
      </c>
      <c r="H43" s="18"/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4"/>
        <v>0</v>
      </c>
      <c r="H44" s="18"/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18"/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49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67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76</v>
      </c>
      <c r="B59" s="220" t="s">
        <v>85</v>
      </c>
      <c r="C59" s="18" t="s">
        <v>86</v>
      </c>
      <c r="D59" s="28">
        <v>6339</v>
      </c>
      <c r="E59" s="28">
        <v>5615</v>
      </c>
      <c r="F59" s="28">
        <f>ROUND(E59/D59*100,1)</f>
        <v>88.6</v>
      </c>
      <c r="G59" s="28">
        <f>E59-D59</f>
        <v>-724</v>
      </c>
      <c r="H59" s="28">
        <v>5615</v>
      </c>
      <c r="I59" s="28">
        <f t="shared" ref="I59:I64" si="8">IF(H59&gt;0,ROUND(E59/H59*100,1),0)</f>
        <v>100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8"/>
        <v>0</v>
      </c>
    </row>
    <row r="61" spans="1:12" ht="15.75" collapsed="1">
      <c r="A61" s="34" t="s">
        <v>84</v>
      </c>
      <c r="B61" s="220" t="s">
        <v>92</v>
      </c>
      <c r="C61" s="18" t="s">
        <v>37</v>
      </c>
      <c r="D61" s="33">
        <v>506695.9</v>
      </c>
      <c r="E61" s="33">
        <v>496329.4</v>
      </c>
      <c r="F61" s="28">
        <f>ROUND(E61/D61*100,1)</f>
        <v>98</v>
      </c>
      <c r="G61" s="28">
        <f>E61-D61</f>
        <v>-10366.5</v>
      </c>
      <c r="H61" s="33">
        <v>425086.6</v>
      </c>
      <c r="I61" s="28">
        <f t="shared" si="8"/>
        <v>116.8</v>
      </c>
      <c r="J61" t="s">
        <v>87</v>
      </c>
    </row>
    <row r="62" spans="1:12" ht="15.75">
      <c r="A62" s="34" t="s">
        <v>88</v>
      </c>
      <c r="B62" s="220" t="s">
        <v>94</v>
      </c>
      <c r="C62" s="18" t="s">
        <v>95</v>
      </c>
      <c r="D62" s="28">
        <v>6661.0913919124996</v>
      </c>
      <c r="E62" s="28">
        <v>7345.7</v>
      </c>
      <c r="F62" s="28">
        <f>ROUND(E62/D62*100,1)</f>
        <v>110.3</v>
      </c>
      <c r="G62" s="28">
        <f>E62-D62</f>
        <v>684.60860808750022</v>
      </c>
      <c r="H62" s="28">
        <v>6280.7</v>
      </c>
      <c r="I62" s="28">
        <f t="shared" si="8"/>
        <v>117</v>
      </c>
      <c r="J62" t="s">
        <v>87</v>
      </c>
      <c r="L62">
        <v>563699649</v>
      </c>
    </row>
    <row r="63" spans="1:12" ht="15.75">
      <c r="A63" s="34" t="s">
        <v>91</v>
      </c>
      <c r="B63" s="220" t="s">
        <v>97</v>
      </c>
      <c r="C63" s="18" t="s">
        <v>37</v>
      </c>
      <c r="D63" s="18"/>
      <c r="E63" s="18">
        <v>1259454.29</v>
      </c>
      <c r="F63" s="28"/>
      <c r="G63" s="18"/>
      <c r="H63" s="18">
        <v>2378849</v>
      </c>
      <c r="I63" s="18">
        <f t="shared" si="8"/>
        <v>52.9</v>
      </c>
      <c r="J63" t="s">
        <v>302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58"/>
      <c r="I64" s="59">
        <f t="shared" si="8"/>
        <v>0</v>
      </c>
      <c r="J64" s="31"/>
    </row>
    <row r="65" spans="1:13" ht="15.75" collapsed="1">
      <c r="A65" s="34" t="s">
        <v>93</v>
      </c>
      <c r="B65" s="220" t="s">
        <v>101</v>
      </c>
      <c r="C65" s="18" t="s">
        <v>102</v>
      </c>
      <c r="D65" s="60">
        <v>222514.86</v>
      </c>
      <c r="E65" s="28">
        <v>210375.2</v>
      </c>
      <c r="F65" s="28">
        <f>ROUND(E65/D65*100,1)</f>
        <v>94.5</v>
      </c>
      <c r="G65" s="28">
        <f>E65-D65</f>
        <v>-12139.659999999974</v>
      </c>
      <c r="H65" s="28">
        <v>185682.88</v>
      </c>
      <c r="I65" s="28">
        <f>ROUND(E65/H65*100,1)</f>
        <v>113.3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96</v>
      </c>
      <c r="B70" s="220" t="s">
        <v>108</v>
      </c>
      <c r="C70" s="18" t="s">
        <v>37</v>
      </c>
      <c r="D70" s="28">
        <v>1831737.426</v>
      </c>
      <c r="E70" s="18">
        <v>1657296.0236170001</v>
      </c>
      <c r="F70" s="18">
        <f t="shared" ref="F70:F96" si="9">ROUND(E70/D70*100,1)</f>
        <v>90.5</v>
      </c>
      <c r="G70" s="18">
        <f>E70-D70</f>
        <v>-174441.40238299989</v>
      </c>
      <c r="H70" s="18">
        <v>1588768.63</v>
      </c>
      <c r="I70" s="18">
        <f t="shared" ref="I70:I85" si="10">ROUND(E70/H70*100,1)</f>
        <v>104.3</v>
      </c>
      <c r="J70" t="s">
        <v>103</v>
      </c>
      <c r="M70">
        <f>1759313-152984-76292-1017231</f>
        <v>512806</v>
      </c>
    </row>
    <row r="71" spans="1:13" ht="15.75">
      <c r="A71" s="34" t="s">
        <v>98</v>
      </c>
      <c r="B71" s="220" t="s">
        <v>110</v>
      </c>
      <c r="C71" s="18" t="s">
        <v>37</v>
      </c>
      <c r="D71" s="28">
        <v>1450450.26</v>
      </c>
      <c r="E71" s="18">
        <v>1306582.4779360001</v>
      </c>
      <c r="F71" s="18">
        <f t="shared" si="9"/>
        <v>90.1</v>
      </c>
      <c r="G71" s="18">
        <f>E71-D71</f>
        <v>-143867.78206399991</v>
      </c>
      <c r="H71" s="18">
        <v>1087758.655</v>
      </c>
      <c r="I71" s="18">
        <f t="shared" si="10"/>
        <v>120.1</v>
      </c>
      <c r="J71" t="s">
        <v>103</v>
      </c>
    </row>
    <row r="72" spans="1:13" ht="15.75">
      <c r="A72" s="34" t="s">
        <v>100</v>
      </c>
      <c r="B72" s="220" t="s">
        <v>112</v>
      </c>
      <c r="C72" s="18" t="s">
        <v>37</v>
      </c>
      <c r="D72" s="33">
        <f>D70-D71</f>
        <v>381287.16599999997</v>
      </c>
      <c r="E72" s="33">
        <f>E70-E71</f>
        <v>350713.54568099999</v>
      </c>
      <c r="F72" s="34">
        <f t="shared" si="9"/>
        <v>92</v>
      </c>
      <c r="G72" s="18">
        <f>E72-D72</f>
        <v>-30573.62031899998</v>
      </c>
      <c r="H72" s="33">
        <f>H70-H71</f>
        <v>501009.97499999986</v>
      </c>
      <c r="I72" s="34">
        <f t="shared" si="10"/>
        <v>70</v>
      </c>
      <c r="J72" t="s">
        <v>103</v>
      </c>
      <c r="M72" s="11">
        <f>D72-D73</f>
        <v>136042.33544</v>
      </c>
    </row>
    <row r="73" spans="1:13" ht="15.75">
      <c r="A73" s="34" t="s">
        <v>107</v>
      </c>
      <c r="B73" s="227" t="s">
        <v>113</v>
      </c>
      <c r="C73" s="18" t="s">
        <v>37</v>
      </c>
      <c r="D73" s="26">
        <f>D74+D75+D76</f>
        <v>245244.83055999997</v>
      </c>
      <c r="E73" s="6">
        <f>E74+E75+E76</f>
        <v>339732.94707200001</v>
      </c>
      <c r="F73" s="6">
        <f t="shared" si="9"/>
        <v>138.5</v>
      </c>
      <c r="G73" s="6">
        <f t="shared" ref="G73:G96" si="11">E73-D73</f>
        <v>94488.116512000037</v>
      </c>
      <c r="H73" s="6">
        <f>H74+H75+H76</f>
        <v>337413.21399999998</v>
      </c>
      <c r="I73" s="6">
        <f t="shared" si="10"/>
        <v>100.7</v>
      </c>
      <c r="J73" t="s">
        <v>103</v>
      </c>
      <c r="M73" s="11">
        <f>M72+D77</f>
        <v>136042.33544</v>
      </c>
    </row>
    <row r="74" spans="1:13" ht="15.75">
      <c r="A74" s="34"/>
      <c r="B74" s="228" t="s">
        <v>114</v>
      </c>
      <c r="C74" s="18" t="s">
        <v>37</v>
      </c>
      <c r="D74" s="28">
        <v>7693.62</v>
      </c>
      <c r="E74" s="34">
        <v>14478.872708999999</v>
      </c>
      <c r="F74" s="34">
        <f t="shared" si="9"/>
        <v>188.2</v>
      </c>
      <c r="G74" s="18">
        <f t="shared" si="11"/>
        <v>6785.2527089999994</v>
      </c>
      <c r="H74" s="34">
        <v>14146.669</v>
      </c>
      <c r="I74" s="34">
        <f t="shared" si="10"/>
        <v>102.3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68427.970199999996</v>
      </c>
      <c r="E75" s="34">
        <v>73637.736023000005</v>
      </c>
      <c r="F75" s="18">
        <f t="shared" si="9"/>
        <v>107.6</v>
      </c>
      <c r="G75" s="18">
        <f t="shared" si="11"/>
        <v>5209.7658230000088</v>
      </c>
      <c r="H75" s="34">
        <v>77192.678</v>
      </c>
      <c r="I75" s="18">
        <f t="shared" si="10"/>
        <v>95.4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169123.24036</v>
      </c>
      <c r="E76" s="34">
        <v>251616.33833999999</v>
      </c>
      <c r="F76" s="18">
        <f t="shared" si="9"/>
        <v>148.80000000000001</v>
      </c>
      <c r="G76" s="18">
        <f t="shared" si="11"/>
        <v>82493.097979999991</v>
      </c>
      <c r="H76" s="34">
        <v>246073.867</v>
      </c>
      <c r="I76" s="18">
        <f t="shared" si="10"/>
        <v>102.3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34">
        <v>60692.169588999997</v>
      </c>
      <c r="F77" s="18"/>
      <c r="G77" s="18">
        <f t="shared" si="11"/>
        <v>60692.169588999997</v>
      </c>
      <c r="H77" s="34">
        <v>55159.235999999997</v>
      </c>
      <c r="I77" s="18">
        <f t="shared" si="10"/>
        <v>110</v>
      </c>
      <c r="J77" t="s">
        <v>103</v>
      </c>
    </row>
    <row r="78" spans="1:13" ht="15.75">
      <c r="A78" s="34"/>
      <c r="B78" s="220" t="s">
        <v>277</v>
      </c>
      <c r="C78" s="18" t="s">
        <v>37</v>
      </c>
      <c r="D78" s="28"/>
      <c r="E78" s="34">
        <v>0</v>
      </c>
      <c r="F78" s="18"/>
      <c r="G78" s="18">
        <f t="shared" si="11"/>
        <v>0</v>
      </c>
      <c r="H78" s="34">
        <v>0</v>
      </c>
      <c r="I78" s="18"/>
      <c r="J78" t="s">
        <v>103</v>
      </c>
    </row>
    <row r="79" spans="1:13" ht="15.75">
      <c r="A79" s="34"/>
      <c r="B79" s="220" t="s">
        <v>118</v>
      </c>
      <c r="C79" s="18" t="s">
        <v>37</v>
      </c>
      <c r="D79" s="28">
        <v>134181.5</v>
      </c>
      <c r="E79" s="34">
        <v>64705.525839000002</v>
      </c>
      <c r="F79" s="18">
        <f t="shared" si="9"/>
        <v>48.2</v>
      </c>
      <c r="G79" s="18">
        <f t="shared" si="11"/>
        <v>-69475.974160999991</v>
      </c>
      <c r="H79" s="34">
        <v>177803.416</v>
      </c>
      <c r="I79" s="18">
        <f t="shared" si="10"/>
        <v>36.4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9"/>
        <v>#DIV/0!</v>
      </c>
      <c r="G80" s="18">
        <f t="shared" si="11"/>
        <v>0</v>
      </c>
      <c r="H80" s="34"/>
      <c r="I80" s="18" t="e">
        <f t="shared" si="10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9"/>
        <v>#DIV/0!</v>
      </c>
      <c r="G81" s="18">
        <f t="shared" si="11"/>
        <v>0</v>
      </c>
      <c r="H81" s="34"/>
      <c r="I81" s="18" t="e">
        <f t="shared" si="10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9"/>
        <v>#DIV/0!</v>
      </c>
      <c r="G82" s="18">
        <f t="shared" si="11"/>
        <v>0</v>
      </c>
      <c r="H82" s="34"/>
      <c r="I82" s="18" t="e">
        <f t="shared" si="10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9"/>
        <v>#DIV/0!</v>
      </c>
      <c r="G83" s="18">
        <f t="shared" si="11"/>
        <v>0</v>
      </c>
      <c r="H83" s="34"/>
      <c r="I83" s="18" t="e">
        <f t="shared" si="10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9"/>
        <v>#DIV/0!</v>
      </c>
      <c r="G84" s="18">
        <f t="shared" si="11"/>
        <v>0</v>
      </c>
      <c r="H84" s="34"/>
      <c r="I84" s="18" t="e">
        <f t="shared" si="10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9"/>
        <v>#DIV/0!</v>
      </c>
      <c r="G85" s="18">
        <f t="shared" si="11"/>
        <v>0</v>
      </c>
      <c r="H85" s="34"/>
      <c r="I85" s="18" t="e">
        <f t="shared" si="10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9"/>
        <v>#DIV/0!</v>
      </c>
      <c r="G86" s="18">
        <f t="shared" si="11"/>
        <v>0</v>
      </c>
      <c r="H86" s="34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9"/>
        <v>#DIV/0!</v>
      </c>
      <c r="G87" s="18">
        <f t="shared" si="11"/>
        <v>0</v>
      </c>
      <c r="H87" s="34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9"/>
        <v>#DIV/0!</v>
      </c>
      <c r="G88" s="18">
        <f t="shared" si="11"/>
        <v>0</v>
      </c>
      <c r="H88" s="34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D72-D73+D77-D79</f>
        <v>1860.8354399999953</v>
      </c>
      <c r="E89" s="26">
        <f>E72-E73+E77+E78-E79</f>
        <v>6967.2423589999744</v>
      </c>
      <c r="F89" s="6">
        <f t="shared" si="9"/>
        <v>374.4</v>
      </c>
      <c r="G89" s="6">
        <f t="shared" si="11"/>
        <v>5106.4069189999791</v>
      </c>
      <c r="H89" s="26">
        <f>H72-H73+H77+H78-H79</f>
        <v>40952.580999999889</v>
      </c>
      <c r="I89" s="6">
        <f t="shared" ref="I89:I96" si="12">ROUND(E89/H89*100,1)</f>
        <v>17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 t="s">
        <v>73</v>
      </c>
      <c r="E90" s="195"/>
      <c r="F90" s="195">
        <v>0</v>
      </c>
      <c r="G90" s="195">
        <v>0</v>
      </c>
      <c r="H90" s="195"/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11"/>
        <v>-15.822778173897415</v>
      </c>
      <c r="H91" s="34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1860.8354399999953</v>
      </c>
      <c r="E92" s="34">
        <f>E89</f>
        <v>6967.2423589999744</v>
      </c>
      <c r="F92" s="18">
        <f t="shared" si="9"/>
        <v>374.4</v>
      </c>
      <c r="G92" s="18">
        <f t="shared" si="11"/>
        <v>5106.4069189999791</v>
      </c>
      <c r="H92" s="34">
        <f>H89</f>
        <v>40952.580999999889</v>
      </c>
      <c r="I92" s="18">
        <f t="shared" si="12"/>
        <v>17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f>D92*15%</f>
        <v>279.12531599999926</v>
      </c>
      <c r="E93" s="195">
        <v>6403.331494</v>
      </c>
      <c r="F93" s="195">
        <v>0</v>
      </c>
      <c r="G93" s="195">
        <v>0</v>
      </c>
      <c r="H93" s="195">
        <v>4069.846</v>
      </c>
      <c r="I93" s="195">
        <v>0</v>
      </c>
      <c r="J93" t="s">
        <v>103</v>
      </c>
    </row>
    <row r="94" spans="1:10" ht="15.75">
      <c r="A94" s="34"/>
      <c r="B94" s="220" t="s">
        <v>279</v>
      </c>
      <c r="C94" s="18" t="s">
        <v>37</v>
      </c>
      <c r="D94" s="33">
        <v>0</v>
      </c>
      <c r="E94" s="34">
        <v>0</v>
      </c>
      <c r="F94" s="18"/>
      <c r="G94" s="18">
        <f t="shared" si="11"/>
        <v>0</v>
      </c>
      <c r="H94" s="34">
        <v>0</v>
      </c>
      <c r="I94" s="18"/>
      <c r="J94" t="s">
        <v>103</v>
      </c>
    </row>
    <row r="95" spans="1:10" ht="15.75" hidden="1" outlineLevel="1">
      <c r="A95" s="34"/>
      <c r="B95" s="220" t="s">
        <v>131</v>
      </c>
      <c r="C95" s="18" t="s">
        <v>37</v>
      </c>
      <c r="D95" s="33"/>
      <c r="E95" s="34"/>
      <c r="F95" s="18" t="e">
        <f t="shared" si="9"/>
        <v>#DIV/0!</v>
      </c>
      <c r="G95" s="18">
        <f t="shared" si="11"/>
        <v>0</v>
      </c>
      <c r="H95" s="34"/>
      <c r="I95" s="18" t="e">
        <f t="shared" si="12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1581.7101239999961</v>
      </c>
      <c r="E96" s="34">
        <f>E92-E93-E94</f>
        <v>563.91086499997436</v>
      </c>
      <c r="F96" s="18">
        <f t="shared" si="9"/>
        <v>35.700000000000003</v>
      </c>
      <c r="G96" s="18">
        <f t="shared" si="11"/>
        <v>-1017.7992590000217</v>
      </c>
      <c r="H96" s="34">
        <f>H92-H93-H94</f>
        <v>36882.734999999891</v>
      </c>
      <c r="I96" s="18">
        <f t="shared" si="12"/>
        <v>1.5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66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18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18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0"/>
      <c r="I100" s="70"/>
    </row>
    <row r="101" spans="1:12" ht="15.75" collapsed="1">
      <c r="A101" s="34" t="s">
        <v>109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279.12531599999926</v>
      </c>
      <c r="E102" s="6">
        <f>E103+E106</f>
        <v>77807.709493999995</v>
      </c>
      <c r="F102" s="6">
        <f>ROUND(E102/D102*100,1)</f>
        <v>27875.5</v>
      </c>
      <c r="G102" s="6">
        <f>E102-D102</f>
        <v>77528.58417799999</v>
      </c>
      <c r="H102" s="6">
        <f>H103+H106</f>
        <v>10639.678</v>
      </c>
      <c r="I102" s="6">
        <f>ROUND(E102/H102*100,1)</f>
        <v>731.3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279.12531599999926</v>
      </c>
      <c r="E103" s="195">
        <f>E93</f>
        <v>6403.331494</v>
      </c>
      <c r="F103" s="195">
        <v>0</v>
      </c>
      <c r="G103" s="195">
        <v>0</v>
      </c>
      <c r="H103" s="195">
        <f>H93</f>
        <v>4069.846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3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/>
      <c r="E106" s="18">
        <v>71404.377999999997</v>
      </c>
      <c r="F106" s="18"/>
      <c r="G106" s="34">
        <f t="shared" si="13"/>
        <v>71404.377999999997</v>
      </c>
      <c r="H106" s="18">
        <v>6569.8320000000003</v>
      </c>
      <c r="I106" s="18">
        <f>ROUND(E106/H106*100,1)</f>
        <v>1086.9000000000001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91587.311000000002</v>
      </c>
      <c r="E107" s="6">
        <f>SUM(E108:E112)</f>
        <v>98872.305984000006</v>
      </c>
      <c r="F107" s="6">
        <f>ROUND(E107/D107*100,1)</f>
        <v>108</v>
      </c>
      <c r="G107" s="6">
        <f t="shared" si="13"/>
        <v>7284.9949840000045</v>
      </c>
      <c r="H107" s="6">
        <f>SUM(H108:H112)</f>
        <v>95385.404999999999</v>
      </c>
      <c r="I107" s="6">
        <f>IF(H107&gt;0,ROUND(E107/H107*100,1),0)</f>
        <v>103.7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/>
      <c r="F108" s="6"/>
      <c r="G108" s="18">
        <f t="shared" si="13"/>
        <v>0</v>
      </c>
      <c r="H108" s="34">
        <v>4001.3</v>
      </c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3202.3589999999999</v>
      </c>
      <c r="E109" s="34">
        <v>4376</v>
      </c>
      <c r="F109" s="18">
        <f>ROUND(E109/D109*100,1)</f>
        <v>136.6</v>
      </c>
      <c r="G109" s="18">
        <f t="shared" si="13"/>
        <v>1173.6410000000001</v>
      </c>
      <c r="H109" s="34">
        <v>3786.3980000000001</v>
      </c>
      <c r="I109" s="34">
        <f>ROUND(E109/H109*100,1)</f>
        <v>115.6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1473.568</v>
      </c>
      <c r="E110" s="34">
        <v>1641.8309839999999</v>
      </c>
      <c r="F110" s="18">
        <f>ROUND(E110/D110*100,1)</f>
        <v>111.4</v>
      </c>
      <c r="G110" s="18">
        <f t="shared" si="13"/>
        <v>168.26298399999996</v>
      </c>
      <c r="H110" s="34">
        <v>1386.4079999999999</v>
      </c>
      <c r="I110" s="34">
        <f>ROUND(E110/H110*100,1)</f>
        <v>118.4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22390</v>
      </c>
      <c r="E111" s="34">
        <v>26254.596000000001</v>
      </c>
      <c r="F111" s="18">
        <f>ROUND(E111/D111*100,1)</f>
        <v>117.3</v>
      </c>
      <c r="G111" s="18">
        <f t="shared" si="13"/>
        <v>3864.5960000000014</v>
      </c>
      <c r="H111" s="34">
        <v>22213.358</v>
      </c>
      <c r="I111" s="34">
        <f>ROUND(E111/H111*100,1)</f>
        <v>118.2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64521.383999999998</v>
      </c>
      <c r="E112" s="34">
        <v>66599.879000000001</v>
      </c>
      <c r="F112" s="18">
        <f>ROUND(E112/D112*100,1)</f>
        <v>103.2</v>
      </c>
      <c r="G112" s="18">
        <f t="shared" si="13"/>
        <v>2078.4950000000026</v>
      </c>
      <c r="H112" s="34">
        <v>63997.940999999999</v>
      </c>
      <c r="I112" s="34">
        <f>ROUND(E112/H112*100,1)</f>
        <v>104.1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66904.338000000003</v>
      </c>
      <c r="E113" s="6">
        <f>SUM(E115:E120)</f>
        <v>83491.012000000002</v>
      </c>
      <c r="F113" s="6">
        <f>ROUND(E113/D113*100,1)</f>
        <v>124.8</v>
      </c>
      <c r="G113" s="6">
        <f t="shared" si="13"/>
        <v>16586.673999999999</v>
      </c>
      <c r="H113" s="6">
        <f>SUM(H115:H120)</f>
        <v>60618.917000000001</v>
      </c>
      <c r="I113" s="6">
        <f>ROUND(E113/H113*100,1)</f>
        <v>137.69999999999999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34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0" si="14">E115-D115</f>
        <v>0</v>
      </c>
      <c r="H115" s="18"/>
      <c r="I115" s="18" t="e">
        <f t="shared" ref="I115:I121" si="15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4"/>
        <v>0</v>
      </c>
      <c r="H116" s="18"/>
      <c r="I116" s="18" t="e">
        <f t="shared" si="15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f>D61*12%</f>
        <v>60803.508000000002</v>
      </c>
      <c r="E117" s="18">
        <v>72460.012000000002</v>
      </c>
      <c r="F117" s="18">
        <f>ROUND(E117/D117*100,1)</f>
        <v>119.2</v>
      </c>
      <c r="G117" s="18">
        <f t="shared" si="14"/>
        <v>11656.504000000001</v>
      </c>
      <c r="H117" s="18">
        <v>50774</v>
      </c>
      <c r="I117" s="18">
        <f t="shared" si="15"/>
        <v>142.69999999999999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6100.83</v>
      </c>
      <c r="E118" s="35">
        <v>11031</v>
      </c>
      <c r="F118" s="18">
        <f>ROUND(E118/D118*100,1)</f>
        <v>180.8</v>
      </c>
      <c r="G118" s="35">
        <f t="shared" si="14"/>
        <v>4930.17</v>
      </c>
      <c r="H118" s="35">
        <f>8272.535+1572.382</f>
        <v>9844.9169999999995</v>
      </c>
      <c r="I118" s="18">
        <f t="shared" si="15"/>
        <v>112</v>
      </c>
      <c r="J118" s="11" t="s">
        <v>139</v>
      </c>
      <c r="L118" s="11">
        <f>218347.615-E121</f>
        <v>-41823.412478000013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4"/>
        <v>0</v>
      </c>
      <c r="H119" s="18"/>
      <c r="I119" s="18" t="e">
        <f t="shared" si="15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/>
      <c r="E120" s="18"/>
      <c r="F120" s="18" t="e">
        <f>ROUND(E120/D120*100,1)</f>
        <v>#DIV/0!</v>
      </c>
      <c r="G120" s="18">
        <f t="shared" si="14"/>
        <v>0</v>
      </c>
      <c r="H120" s="18"/>
      <c r="I120" s="18" t="e">
        <f t="shared" si="15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158770.774316</v>
      </c>
      <c r="E121" s="6">
        <f>E102+E113+E107</f>
        <v>260171.027478</v>
      </c>
      <c r="F121" s="6">
        <f>ROUND(E121/D121*100,1)</f>
        <v>163.9</v>
      </c>
      <c r="G121" s="6">
        <f>E121-D121</f>
        <v>101400.25316200001</v>
      </c>
      <c r="H121" s="6">
        <f>H102+H113+H107</f>
        <v>166644</v>
      </c>
      <c r="I121" s="6">
        <f t="shared" si="15"/>
        <v>156.1</v>
      </c>
      <c r="J121" s="11" t="s">
        <v>139</v>
      </c>
    </row>
    <row r="122" spans="1:13" ht="15.75">
      <c r="A122" s="34" t="s">
        <v>111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36"/>
      <c r="K123" s="1"/>
    </row>
    <row r="124" spans="1:13" ht="18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>
      <c r="A125" s="34" t="s">
        <v>278</v>
      </c>
      <c r="B125" s="227" t="s">
        <v>162</v>
      </c>
      <c r="C125" s="18" t="s">
        <v>37</v>
      </c>
      <c r="D125" s="6">
        <f>SUM(D127:D130)</f>
        <v>1547612.1564999998</v>
      </c>
      <c r="E125" s="6">
        <f>SUM(E127:E130)</f>
        <v>1514505.4049940002</v>
      </c>
      <c r="F125" s="6">
        <f t="shared" ref="F125:F130" si="16">ROUND(E125/D125*100,1)</f>
        <v>97.9</v>
      </c>
      <c r="G125" s="6">
        <f t="shared" ref="G125:G147" si="17">E125-D125</f>
        <v>-33106.751505999593</v>
      </c>
      <c r="H125" s="6">
        <f>SUM(H127:H130)</f>
        <v>1268119.6920000003</v>
      </c>
      <c r="I125" s="6">
        <f>ROUND(E125/H125*100,1)</f>
        <v>119.4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7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894913.57550000004</v>
      </c>
      <c r="E127" s="18">
        <v>861198.22409999999</v>
      </c>
      <c r="F127" s="18">
        <f t="shared" si="16"/>
        <v>96.2</v>
      </c>
      <c r="G127" s="18">
        <f t="shared" si="17"/>
        <v>-33715.351400000043</v>
      </c>
      <c r="H127" s="18">
        <v>124018.31600000001</v>
      </c>
      <c r="I127" s="18">
        <f>ROUND(E127/H127*100,1)</f>
        <v>694.4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v>431127.37199999997</v>
      </c>
      <c r="E128" s="18">
        <v>391711.022</v>
      </c>
      <c r="F128" s="18">
        <f t="shared" si="16"/>
        <v>90.9</v>
      </c>
      <c r="G128" s="18">
        <f t="shared" si="17"/>
        <v>-39416.349999999977</v>
      </c>
      <c r="H128" s="18">
        <f>299417.303+35931.49</f>
        <v>335348.79300000001</v>
      </c>
      <c r="I128" s="18">
        <f>ROUND(E128/H128*100,1)</f>
        <v>116.8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185684.728</v>
      </c>
      <c r="E129" s="18">
        <v>211266.44282200001</v>
      </c>
      <c r="F129" s="18">
        <f t="shared" si="16"/>
        <v>113.8</v>
      </c>
      <c r="G129" s="18">
        <f t="shared" si="17"/>
        <v>25581.714822000009</v>
      </c>
      <c r="H129" s="18">
        <v>177252.90400000001</v>
      </c>
      <c r="I129" s="18">
        <f>ROUND(E129/H129*100,1)</f>
        <v>119.2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35886.481</v>
      </c>
      <c r="E130" s="18">
        <v>50329.716072000003</v>
      </c>
      <c r="F130" s="18">
        <f t="shared" si="16"/>
        <v>140.19999999999999</v>
      </c>
      <c r="G130" s="18">
        <f t="shared" si="17"/>
        <v>14443.235072000003</v>
      </c>
      <c r="H130" s="18">
        <f>228757.847+2328.122+286246.091+73652.702+40514.917</f>
        <v>631499.67900000012</v>
      </c>
      <c r="I130" s="18">
        <f>ROUND(E130/H130*100,1)</f>
        <v>8</v>
      </c>
      <c r="J130" s="11" t="s">
        <v>139</v>
      </c>
    </row>
    <row r="131" spans="1:13" ht="23.25" customHeight="1">
      <c r="A131" s="18" t="s">
        <v>136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6"/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7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18">
        <v>2030489.1310000001</v>
      </c>
      <c r="F133" s="18"/>
      <c r="G133" s="18">
        <f t="shared" si="17"/>
        <v>2030489.1310000001</v>
      </c>
      <c r="H133" s="18">
        <v>1660572.1</v>
      </c>
      <c r="I133" s="18">
        <f>IF(H133&gt;0,ROUND(E133/H133*100,1),0)</f>
        <v>122.3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7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1259454.29</v>
      </c>
      <c r="F135" s="18"/>
      <c r="G135" s="18">
        <f t="shared" si="17"/>
        <v>1259454.29</v>
      </c>
      <c r="H135" s="18">
        <v>1354422.9580000001</v>
      </c>
      <c r="I135" s="18">
        <f t="shared" ref="I135:I144" si="18">IF(H135&gt;0,ROUND(E135/H135*100,1),0)</f>
        <v>93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30.702000000000002</v>
      </c>
      <c r="F136" s="18"/>
      <c r="G136" s="18">
        <f t="shared" si="17"/>
        <v>30.702000000000002</v>
      </c>
      <c r="H136" s="18">
        <v>42.515999999999998</v>
      </c>
      <c r="I136" s="18">
        <f t="shared" si="18"/>
        <v>72.2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v>1236031.7</v>
      </c>
      <c r="F137" s="18"/>
      <c r="G137" s="18">
        <f t="shared" si="17"/>
        <v>1236031.7</v>
      </c>
      <c r="H137" s="18">
        <v>984710.01500000001</v>
      </c>
      <c r="I137" s="18">
        <f t="shared" si="18"/>
        <v>125.5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7"/>
        <v>0</v>
      </c>
      <c r="H138" s="18"/>
      <c r="I138" s="18">
        <f t="shared" si="18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v>698239.73400000005</v>
      </c>
      <c r="F139" s="18"/>
      <c r="G139" s="81">
        <f t="shared" si="17"/>
        <v>698239.73400000005</v>
      </c>
      <c r="H139" s="81">
        <v>468312.81900000002</v>
      </c>
      <c r="I139" s="18">
        <f t="shared" si="18"/>
        <v>149.1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7"/>
        <v>0</v>
      </c>
      <c r="H140" s="18"/>
      <c r="I140" s="18">
        <f t="shared" si="18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193094.11499999999</v>
      </c>
      <c r="F141" s="18"/>
      <c r="G141" s="18">
        <f t="shared" si="17"/>
        <v>193094.11499999999</v>
      </c>
      <c r="H141" s="18">
        <v>165970.54199999999</v>
      </c>
      <c r="I141" s="18">
        <f t="shared" si="18"/>
        <v>116.3</v>
      </c>
      <c r="K141" t="s">
        <v>170</v>
      </c>
      <c r="L141" t="s">
        <v>170</v>
      </c>
      <c r="M141" t="s">
        <v>182</v>
      </c>
    </row>
    <row r="142" spans="1:13" ht="20.25" customHeight="1">
      <c r="A142" s="34" t="s">
        <v>280</v>
      </c>
      <c r="B142" s="228" t="s">
        <v>281</v>
      </c>
      <c r="C142" s="18" t="s">
        <v>37</v>
      </c>
      <c r="D142" s="18"/>
      <c r="E142" s="18"/>
      <c r="F142" s="18"/>
      <c r="G142" s="18"/>
      <c r="H142" s="18"/>
      <c r="I142" s="18"/>
    </row>
    <row r="143" spans="1:13" ht="15.75">
      <c r="A143" s="34"/>
      <c r="B143" s="228" t="s">
        <v>183</v>
      </c>
      <c r="C143" s="18" t="s">
        <v>37</v>
      </c>
      <c r="D143" s="18"/>
      <c r="E143" s="18">
        <v>501164.67499999999</v>
      </c>
      <c r="F143" s="18"/>
      <c r="G143" s="18">
        <f t="shared" si="17"/>
        <v>501164.67499999999</v>
      </c>
      <c r="H143" s="18">
        <v>293197.67</v>
      </c>
      <c r="I143" s="18">
        <f t="shared" si="18"/>
        <v>170.9</v>
      </c>
      <c r="K143" t="s">
        <v>170</v>
      </c>
      <c r="L143" t="s">
        <v>170</v>
      </c>
      <c r="M143" t="s">
        <v>184</v>
      </c>
    </row>
    <row r="144" spans="1:13" ht="15.75">
      <c r="A144" s="34"/>
      <c r="B144" s="237" t="s">
        <v>185</v>
      </c>
      <c r="C144" s="18" t="s">
        <v>37</v>
      </c>
      <c r="D144" s="18"/>
      <c r="E144" s="18">
        <v>63479.014999999999</v>
      </c>
      <c r="F144" s="18"/>
      <c r="G144" s="18">
        <f>E144-D144</f>
        <v>63479.014999999999</v>
      </c>
      <c r="H144" s="18">
        <v>150743.34599999999</v>
      </c>
      <c r="I144" s="18">
        <f t="shared" si="18"/>
        <v>42.1</v>
      </c>
      <c r="K144" t="s">
        <v>170</v>
      </c>
      <c r="L144" t="s">
        <v>170</v>
      </c>
      <c r="M144" t="s">
        <v>186</v>
      </c>
    </row>
    <row r="145" spans="1:12" ht="18" customHeight="1">
      <c r="A145" s="34"/>
      <c r="B145" s="34" t="s">
        <v>163</v>
      </c>
      <c r="C145" s="18" t="s">
        <v>37</v>
      </c>
      <c r="D145" s="18"/>
      <c r="E145" s="18"/>
      <c r="F145" s="18"/>
      <c r="G145" s="18">
        <f t="shared" si="17"/>
        <v>0</v>
      </c>
      <c r="H145" s="18"/>
      <c r="I145" s="18"/>
      <c r="K145" t="s">
        <v>170</v>
      </c>
      <c r="L145" t="s">
        <v>170</v>
      </c>
    </row>
    <row r="146" spans="1:12" ht="15.75">
      <c r="A146" s="34"/>
      <c r="B146" s="224" t="s">
        <v>187</v>
      </c>
      <c r="C146" s="18" t="s">
        <v>37</v>
      </c>
      <c r="D146" s="18"/>
      <c r="E146" s="18"/>
      <c r="F146" s="18"/>
      <c r="G146" s="18">
        <f t="shared" si="17"/>
        <v>0</v>
      </c>
      <c r="H146" s="18"/>
      <c r="I146" s="18">
        <f>IF(H146&gt;0,ROUND(E146/H146*100,1),0)</f>
        <v>0</v>
      </c>
      <c r="K146" t="s">
        <v>170</v>
      </c>
    </row>
    <row r="147" spans="1:12" ht="18.75" hidden="1" customHeight="1" outlineLevel="1">
      <c r="A147" s="34" t="s">
        <v>188</v>
      </c>
      <c r="B147" s="220" t="s">
        <v>189</v>
      </c>
      <c r="C147" s="18" t="s">
        <v>37</v>
      </c>
      <c r="D147" s="35"/>
      <c r="E147" s="18"/>
      <c r="F147" s="18"/>
      <c r="G147" s="18">
        <f t="shared" si="17"/>
        <v>0</v>
      </c>
      <c r="H147" s="18"/>
      <c r="I147" s="18">
        <f>IF(H147&gt;0,ROUND(D147/H147*100,1),0)</f>
        <v>0</v>
      </c>
      <c r="K147" t="s">
        <v>170</v>
      </c>
    </row>
    <row r="148" spans="1:12" ht="15.75" collapsed="1">
      <c r="A148" s="34" t="s">
        <v>157</v>
      </c>
      <c r="B148" s="220" t="s">
        <v>190</v>
      </c>
      <c r="C148" s="258" t="s">
        <v>37</v>
      </c>
      <c r="D148" s="266"/>
      <c r="E148" s="259">
        <v>347619.20199999999</v>
      </c>
      <c r="F148" s="18"/>
      <c r="G148" s="18">
        <f>E148-D148</f>
        <v>347619.20199999999</v>
      </c>
      <c r="H148" s="259">
        <v>242439.24400000001</v>
      </c>
      <c r="I148" s="18">
        <f>ROUND(E148/H148*100,1)</f>
        <v>143.4</v>
      </c>
      <c r="K148" t="s">
        <v>170</v>
      </c>
      <c r="L148" t="s">
        <v>191</v>
      </c>
    </row>
    <row r="149" spans="1:12" ht="15.75" hidden="1" customHeight="1" outlineLevel="1">
      <c r="A149" s="34"/>
      <c r="B149" s="34" t="s">
        <v>12</v>
      </c>
      <c r="C149" s="258" t="s">
        <v>37</v>
      </c>
      <c r="D149" s="267"/>
      <c r="E149" s="259"/>
      <c r="F149" s="18" t="e">
        <f t="shared" ref="F149:F152" si="19">E149/D149*100</f>
        <v>#DIV/0!</v>
      </c>
      <c r="G149" s="18">
        <f t="shared" ref="G149:G152" si="20">E149-D149</f>
        <v>0</v>
      </c>
      <c r="H149" s="259"/>
      <c r="I149" s="18"/>
      <c r="K149" t="s">
        <v>170</v>
      </c>
    </row>
    <row r="150" spans="1:12" ht="15.75" hidden="1" outlineLevel="1">
      <c r="A150" s="34"/>
      <c r="B150" s="220" t="s">
        <v>192</v>
      </c>
      <c r="C150" s="258" t="s">
        <v>37</v>
      </c>
      <c r="D150" s="18"/>
      <c r="E150" s="259"/>
      <c r="F150" s="18" t="e">
        <f t="shared" si="19"/>
        <v>#DIV/0!</v>
      </c>
      <c r="G150" s="18">
        <f t="shared" si="20"/>
        <v>0</v>
      </c>
      <c r="H150" s="259"/>
      <c r="I150" s="18"/>
      <c r="K150" t="s">
        <v>170</v>
      </c>
    </row>
    <row r="151" spans="1:12" ht="15.75" hidden="1" outlineLevel="1">
      <c r="A151" s="34"/>
      <c r="B151" s="220" t="s">
        <v>193</v>
      </c>
      <c r="C151" s="258" t="s">
        <v>37</v>
      </c>
      <c r="D151" s="18"/>
      <c r="E151" s="259"/>
      <c r="F151" s="18" t="e">
        <f t="shared" si="19"/>
        <v>#DIV/0!</v>
      </c>
      <c r="G151" s="18">
        <f t="shared" si="20"/>
        <v>0</v>
      </c>
      <c r="H151" s="259"/>
      <c r="I151" s="18" t="e">
        <f>ROUND(E151/H151*100,1)</f>
        <v>#DIV/0!</v>
      </c>
      <c r="K151" t="s">
        <v>170</v>
      </c>
    </row>
    <row r="152" spans="1:12" ht="15.75" collapsed="1">
      <c r="A152" s="34" t="s">
        <v>161</v>
      </c>
      <c r="B152" s="220" t="s">
        <v>194</v>
      </c>
      <c r="C152" s="258" t="s">
        <v>37</v>
      </c>
      <c r="D152" s="267"/>
      <c r="E152" s="259">
        <v>558816.67700000003</v>
      </c>
      <c r="F152" s="18"/>
      <c r="G152" s="18">
        <f t="shared" si="20"/>
        <v>558816.67700000003</v>
      </c>
      <c r="H152" s="259">
        <v>459645.20400000003</v>
      </c>
      <c r="I152" s="18">
        <f>ROUND(E152/H152*100,1)</f>
        <v>121.6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260"/>
      <c r="E153" s="34">
        <f>'[8]1-полугод 2023 г. без.сп.над '!E152</f>
        <v>0</v>
      </c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34">
        <f>'[8]1-полугод 2023 г. без.сп.над '!E153</f>
        <v>0</v>
      </c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34">
        <f>'[8]1-полугод 2023 г. без.сп.над '!E154</f>
        <v>0</v>
      </c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34">
        <f>'[8]1-полугод 2023 г. без.сп.над '!E155</f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34">
        <f>'[8]1-полугод 2023 г. без.сп.над '!E156</f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34">
        <f>'[8]1-полугод 2023 г. без.сп.над '!E157</f>
        <v>0</v>
      </c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34">
        <f>'[8]1-полугод 2023 г. без.сп.над '!E158</f>
        <v>0</v>
      </c>
      <c r="F159" s="40"/>
      <c r="G159" s="40"/>
      <c r="H159" s="41"/>
      <c r="I159" s="40" t="e">
        <f>ROUND(E159/H159*100,1)</f>
        <v>#DIV/0!</v>
      </c>
    </row>
    <row r="160" spans="1:12" ht="48.75" customHeight="1" collapsed="1">
      <c r="H160" s="44"/>
    </row>
    <row r="161" spans="1:9" ht="18.75">
      <c r="A161" s="32"/>
      <c r="B161" s="45" t="s">
        <v>205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 outlineLevel="1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 outlineLevel="1">
      <c r="A165" s="32"/>
      <c r="B165" s="46" t="s">
        <v>206</v>
      </c>
      <c r="C165" s="46"/>
      <c r="D165" s="46"/>
      <c r="E165" s="46"/>
      <c r="F165" s="48"/>
      <c r="G165" s="46" t="str">
        <f>'[2]2019'!$G$164</f>
        <v>Бегматов  Ш.Т.</v>
      </c>
      <c r="H165" s="46"/>
      <c r="I165" s="48"/>
    </row>
    <row r="166" spans="1:9" ht="18.75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>
      <c r="A167" s="32"/>
      <c r="B167" s="46" t="str">
        <f>'[3]2019'!B168</f>
        <v>Начальник ОЭАиП</v>
      </c>
      <c r="C167" s="46"/>
      <c r="D167" s="46"/>
      <c r="E167" s="46"/>
      <c r="F167" s="48"/>
      <c r="G167" s="46" t="s">
        <v>251</v>
      </c>
      <c r="H167" s="46"/>
      <c r="I167" s="48"/>
    </row>
    <row r="168" spans="1:9" ht="15.75">
      <c r="B168" s="49"/>
      <c r="C168" s="49"/>
      <c r="D168" s="49"/>
      <c r="E168" s="49"/>
      <c r="G168" s="49"/>
    </row>
    <row r="169" spans="1:9" ht="15.75">
      <c r="B169" s="49"/>
      <c r="C169" s="49"/>
      <c r="D169" s="49"/>
      <c r="E169" s="49"/>
      <c r="G169" s="49"/>
    </row>
    <row r="170" spans="1:9" ht="15.75">
      <c r="B170" s="207" t="s">
        <v>243</v>
      </c>
      <c r="C170" s="49"/>
      <c r="D170" s="49"/>
      <c r="E170" s="49"/>
      <c r="G170" s="49"/>
    </row>
    <row r="171" spans="1:9" ht="15.75">
      <c r="B171" s="49"/>
      <c r="C171" s="49"/>
      <c r="D171" s="49"/>
      <c r="E171" s="49"/>
      <c r="G171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" top="0.51181102362204722" bottom="0.15748031496062992" header="0.15748031496062992" footer="0.11811023622047245"/>
  <pageSetup paperSize="9" scale="64" orientation="portrait" blackAndWhite="1" r:id="rId1"/>
  <headerFooter alignWithMargins="0"/>
  <rowBreaks count="1" manualBreakCount="1">
    <brk id="96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71"/>
  <sheetViews>
    <sheetView showZeros="0" view="pageBreakPreview" zoomScale="90" zoomScaleNormal="100" zoomScaleSheetLayoutView="90" workbookViewId="0">
      <pane ySplit="3" topLeftCell="A93" activePane="bottomLeft" state="frozen"/>
      <selection activeCell="K11" sqref="K11"/>
      <selection pane="bottomLeft" activeCell="D118" sqref="D118:D125"/>
    </sheetView>
  </sheetViews>
  <sheetFormatPr defaultRowHeight="12.75" outlineLevelRow="1" outlineLevelCol="1"/>
  <cols>
    <col min="1" max="1" width="6.140625" bestFit="1" customWidth="1"/>
    <col min="2" max="2" width="56.140625" customWidth="1"/>
    <col min="3" max="3" width="10" customWidth="1" outlineLevel="1"/>
    <col min="4" max="4" width="11.85546875" customWidth="1" outlineLevel="1"/>
    <col min="5" max="5" width="13.42578125" customWidth="1" outlineLevel="1"/>
    <col min="6" max="6" width="9.7109375" customWidth="1" outlineLevel="1"/>
    <col min="7" max="7" width="12.42578125" customWidth="1" outlineLevel="1"/>
    <col min="8" max="8" width="13.28515625" customWidth="1"/>
    <col min="9" max="9" width="11.140625" customWidth="1"/>
    <col min="10" max="10" width="8.7109375" customWidth="1" outlineLevel="1"/>
    <col min="11" max="11" width="13.28515625" customWidth="1" outlineLevel="1"/>
    <col min="12" max="12" width="12.42578125" customWidth="1" outlineLevel="1"/>
    <col min="13" max="13" width="13.5703125" customWidth="1" outlineLevel="1"/>
    <col min="14" max="14" width="12" customWidth="1" outlineLevel="1"/>
  </cols>
  <sheetData>
    <row r="1" spans="1:10" ht="48" customHeight="1">
      <c r="A1" s="282" t="s">
        <v>299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300</v>
      </c>
      <c r="E2" s="289"/>
      <c r="F2" s="289"/>
      <c r="G2" s="289"/>
      <c r="H2" s="290" t="s">
        <v>301</v>
      </c>
      <c r="I2" s="288" t="s">
        <v>3</v>
      </c>
    </row>
    <row r="3" spans="1:10" ht="29.45" customHeight="1">
      <c r="A3" s="286"/>
      <c r="B3" s="287"/>
      <c r="C3" s="287"/>
      <c r="D3" s="274" t="s">
        <v>4</v>
      </c>
      <c r="E3" s="273" t="s">
        <v>282</v>
      </c>
      <c r="F3" s="273" t="s">
        <v>6</v>
      </c>
      <c r="G3" s="273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7" t="s">
        <v>9</v>
      </c>
      <c r="B5" s="217" t="s">
        <v>10</v>
      </c>
      <c r="C5" s="89" t="s">
        <v>11</v>
      </c>
      <c r="D5" s="276">
        <f>D7+D8+D9</f>
        <v>6800</v>
      </c>
      <c r="E5" s="276">
        <f>E7+E8+E9</f>
        <v>7137.0806400000001</v>
      </c>
      <c r="F5" s="276">
        <f>ROUND(E5/D5*100,1)</f>
        <v>105</v>
      </c>
      <c r="G5" s="276">
        <f>E5-D5</f>
        <v>337.08064000000013</v>
      </c>
      <c r="H5" s="276">
        <f>H7+H8+H9</f>
        <v>6765.9416000000001</v>
      </c>
      <c r="I5" s="6">
        <f>IF(H5&gt;0,ROUND(E5/H5*100,1),0)</f>
        <v>105.5</v>
      </c>
    </row>
    <row r="6" spans="1:10" ht="15.75" customHeight="1">
      <c r="A6" s="7"/>
      <c r="B6" s="7" t="s">
        <v>12</v>
      </c>
      <c r="C6" s="7"/>
      <c r="D6" s="34"/>
      <c r="E6" s="34"/>
      <c r="F6" s="34"/>
      <c r="G6" s="34"/>
      <c r="H6" s="34"/>
      <c r="I6" s="7"/>
    </row>
    <row r="7" spans="1:10" ht="15.75">
      <c r="A7" s="7"/>
      <c r="B7" s="218" t="s">
        <v>13</v>
      </c>
      <c r="C7" s="7" t="s">
        <v>11</v>
      </c>
      <c r="D7" s="34">
        <v>5543</v>
      </c>
      <c r="E7" s="34">
        <v>5914.9776400000001</v>
      </c>
      <c r="F7" s="34">
        <f>ROUND(E7/D7*100,1)</f>
        <v>106.7</v>
      </c>
      <c r="G7" s="34">
        <f>E7-D7</f>
        <v>371.97764000000006</v>
      </c>
      <c r="H7" s="34">
        <v>5483.2356</v>
      </c>
      <c r="I7" s="9">
        <f>IF(H7&gt;0,ROUND(E7/H7*100,1),0)</f>
        <v>107.9</v>
      </c>
    </row>
    <row r="8" spans="1:10" ht="15.75">
      <c r="A8" s="7"/>
      <c r="B8" s="218" t="s">
        <v>14</v>
      </c>
      <c r="C8" s="7" t="s">
        <v>11</v>
      </c>
      <c r="D8" s="34">
        <v>57</v>
      </c>
      <c r="E8" s="34">
        <v>60.784999999999997</v>
      </c>
      <c r="F8" s="34">
        <f>ROUND(E8/D8*100,1)</f>
        <v>106.6</v>
      </c>
      <c r="G8" s="34">
        <f>E8-D8</f>
        <v>3.7849999999999966</v>
      </c>
      <c r="H8" s="34">
        <v>61.610999999999997</v>
      </c>
      <c r="I8" s="9">
        <f>IF(H8&gt;0,ROUND(E8/H8*100,1),0)</f>
        <v>98.7</v>
      </c>
    </row>
    <row r="9" spans="1:10" ht="15.75">
      <c r="A9" s="7"/>
      <c r="B9" s="218" t="s">
        <v>15</v>
      </c>
      <c r="C9" s="7" t="s">
        <v>11</v>
      </c>
      <c r="D9" s="34">
        <v>1200</v>
      </c>
      <c r="E9" s="34">
        <v>1161.318</v>
      </c>
      <c r="F9" s="34">
        <f>ROUND(E9/D9*100,1)</f>
        <v>96.8</v>
      </c>
      <c r="G9" s="34">
        <f>E9-D9</f>
        <v>-38.682000000000016</v>
      </c>
      <c r="H9" s="34">
        <v>1221.095</v>
      </c>
      <c r="I9" s="9">
        <f>IF(H9&gt;0,ROUND(E9/H9*100,1),0)</f>
        <v>95.1</v>
      </c>
    </row>
    <row r="10" spans="1:10" ht="15.75">
      <c r="A10" s="7" t="s">
        <v>16</v>
      </c>
      <c r="B10" s="217" t="s">
        <v>17</v>
      </c>
      <c r="C10" s="275" t="s">
        <v>11</v>
      </c>
      <c r="D10" s="6">
        <f>D12+D13</f>
        <v>850</v>
      </c>
      <c r="E10" s="6">
        <f>E12+E13</f>
        <v>466.75191999999998</v>
      </c>
      <c r="F10" s="276">
        <f>ROUND(E10/D10*100,1)</f>
        <v>54.9</v>
      </c>
      <c r="G10" s="276">
        <f>E10-D10</f>
        <v>-383.24808000000002</v>
      </c>
      <c r="H10" s="6">
        <f>H12+H13</f>
        <v>412.755</v>
      </c>
      <c r="I10" s="275">
        <f t="shared" ref="I10:I28" si="0">IF(H10&gt;0,ROUND(E10/H10*100,1),0)</f>
        <v>113.1</v>
      </c>
    </row>
    <row r="11" spans="1:10" ht="17.25" customHeight="1">
      <c r="A11" s="7"/>
      <c r="B11" s="7" t="s">
        <v>12</v>
      </c>
      <c r="C11" s="7"/>
      <c r="D11" s="34"/>
      <c r="E11" s="34"/>
      <c r="F11" s="34"/>
      <c r="G11" s="34"/>
      <c r="H11" s="34"/>
      <c r="I11" s="9">
        <f t="shared" si="0"/>
        <v>0</v>
      </c>
    </row>
    <row r="12" spans="1:10" ht="15.75">
      <c r="A12" s="7"/>
      <c r="B12" s="218" t="s">
        <v>18</v>
      </c>
      <c r="C12" s="7" t="s">
        <v>11</v>
      </c>
      <c r="D12" s="34">
        <v>500</v>
      </c>
      <c r="E12" s="34">
        <v>239.16163</v>
      </c>
      <c r="F12" s="34">
        <f>ROUND(E12/D12*100,1)</f>
        <v>47.8</v>
      </c>
      <c r="G12" s="34">
        <f>E12-D12</f>
        <v>-260.83837</v>
      </c>
      <c r="H12" s="34">
        <v>225.36600000000001</v>
      </c>
      <c r="I12" s="9">
        <f t="shared" si="0"/>
        <v>106.1</v>
      </c>
    </row>
    <row r="13" spans="1:10" ht="15.75">
      <c r="A13" s="7"/>
      <c r="B13" s="218" t="s">
        <v>19</v>
      </c>
      <c r="C13" s="7" t="s">
        <v>11</v>
      </c>
      <c r="D13" s="34">
        <v>350</v>
      </c>
      <c r="E13" s="34">
        <f>75.34951+152.24078</f>
        <v>227.59028999999998</v>
      </c>
      <c r="F13" s="34">
        <f>ROUND(E13/D13*100,1)</f>
        <v>65</v>
      </c>
      <c r="G13" s="34">
        <f>E13-D13</f>
        <v>-122.40971000000002</v>
      </c>
      <c r="H13" s="34">
        <v>187.38900000000001</v>
      </c>
      <c r="I13" s="9">
        <f t="shared" si="0"/>
        <v>121.5</v>
      </c>
    </row>
    <row r="14" spans="1:10" ht="15.75">
      <c r="A14" s="7" t="s">
        <v>20</v>
      </c>
      <c r="B14" s="217" t="s">
        <v>21</v>
      </c>
      <c r="C14" s="89" t="s">
        <v>11</v>
      </c>
      <c r="D14" s="276">
        <f>D16+D17+D18</f>
        <v>6761.5</v>
      </c>
      <c r="E14" s="276">
        <f>E16+E17+E18</f>
        <v>6267.4153000000006</v>
      </c>
      <c r="F14" s="276">
        <f>ROUND(E14/D14*100,1)</f>
        <v>92.7</v>
      </c>
      <c r="G14" s="276">
        <f>E14-D14</f>
        <v>-494.08469999999943</v>
      </c>
      <c r="H14" s="276">
        <f>H16+H17+H18</f>
        <v>5882.6799000000001</v>
      </c>
      <c r="I14" s="9">
        <f t="shared" si="0"/>
        <v>106.5</v>
      </c>
      <c r="J14" t="s">
        <v>22</v>
      </c>
    </row>
    <row r="15" spans="1:10" ht="18" customHeight="1">
      <c r="A15" s="7"/>
      <c r="B15" s="7" t="s">
        <v>12</v>
      </c>
      <c r="C15" s="7"/>
      <c r="D15" s="34"/>
      <c r="E15" s="34"/>
      <c r="F15" s="34"/>
      <c r="G15" s="34"/>
      <c r="H15" s="34"/>
      <c r="I15" s="9">
        <f t="shared" si="0"/>
        <v>0</v>
      </c>
    </row>
    <row r="16" spans="1:10" ht="15.75">
      <c r="A16" s="7"/>
      <c r="B16" s="218" t="s">
        <v>13</v>
      </c>
      <c r="C16" s="7" t="s">
        <v>11</v>
      </c>
      <c r="D16" s="34">
        <v>5504.5</v>
      </c>
      <c r="E16" s="34">
        <v>5014.2139999999999</v>
      </c>
      <c r="F16" s="34">
        <f>ROUND(E16/D16*100,1)</f>
        <v>91.1</v>
      </c>
      <c r="G16" s="34">
        <f>E16-D16</f>
        <v>-490.28600000000006</v>
      </c>
      <c r="H16" s="34">
        <v>4910.9598999999998</v>
      </c>
      <c r="I16" s="9">
        <f t="shared" si="0"/>
        <v>102.1</v>
      </c>
      <c r="J16" t="s">
        <v>22</v>
      </c>
    </row>
    <row r="17" spans="1:12" ht="15.75">
      <c r="A17" s="7"/>
      <c r="B17" s="218" t="s">
        <v>14</v>
      </c>
      <c r="C17" s="7" t="s">
        <v>11</v>
      </c>
      <c r="D17" s="34">
        <v>57</v>
      </c>
      <c r="E17" s="34">
        <v>58.953000000000003</v>
      </c>
      <c r="F17" s="34">
        <f>ROUND(E17/D17*100,1)</f>
        <v>103.4</v>
      </c>
      <c r="G17" s="34">
        <f>E17-D17</f>
        <v>1.953000000000003</v>
      </c>
      <c r="H17" s="34">
        <v>61.372</v>
      </c>
      <c r="I17" s="9">
        <f t="shared" si="0"/>
        <v>96.1</v>
      </c>
      <c r="J17" t="s">
        <v>22</v>
      </c>
    </row>
    <row r="18" spans="1:12" ht="15.75">
      <c r="A18" s="7"/>
      <c r="B18" s="218" t="s">
        <v>15</v>
      </c>
      <c r="C18" s="7" t="s">
        <v>11</v>
      </c>
      <c r="D18" s="276">
        <v>1200</v>
      </c>
      <c r="E18" s="276">
        <v>1194.2483</v>
      </c>
      <c r="F18" s="34">
        <f>ROUND(E18/D18*100,1)</f>
        <v>99.5</v>
      </c>
      <c r="G18" s="34">
        <f>E18-D18</f>
        <v>-5.751700000000028</v>
      </c>
      <c r="H18" s="34">
        <v>910.34799999999996</v>
      </c>
      <c r="I18" s="9">
        <f t="shared" si="0"/>
        <v>131.19999999999999</v>
      </c>
    </row>
    <row r="19" spans="1:12" ht="18.75">
      <c r="A19" s="7" t="s">
        <v>23</v>
      </c>
      <c r="B19" s="217" t="s">
        <v>24</v>
      </c>
      <c r="C19" s="89" t="s">
        <v>25</v>
      </c>
      <c r="D19" s="276">
        <f>D21+D22+D24</f>
        <v>48750</v>
      </c>
      <c r="E19" s="276">
        <f>E21+E22+E24</f>
        <v>35804.074500000002</v>
      </c>
      <c r="F19" s="276">
        <f>ROUND(E19/D19*100,1)</f>
        <v>73.400000000000006</v>
      </c>
      <c r="G19" s="276">
        <f>E19-D19</f>
        <v>-12945.925499999998</v>
      </c>
      <c r="H19" s="276">
        <f>H21+H22+H23+H24</f>
        <v>28099.576000000001</v>
      </c>
      <c r="I19" s="9">
        <f t="shared" si="0"/>
        <v>127.4</v>
      </c>
      <c r="J19" t="s">
        <v>22</v>
      </c>
    </row>
    <row r="20" spans="1:12" ht="15.75">
      <c r="A20" s="7"/>
      <c r="B20" s="217" t="s">
        <v>26</v>
      </c>
      <c r="C20" s="7"/>
      <c r="D20" s="34"/>
      <c r="E20" s="34"/>
      <c r="F20" s="34"/>
      <c r="G20" s="34"/>
      <c r="H20" s="34"/>
      <c r="I20" s="9">
        <f t="shared" si="0"/>
        <v>0</v>
      </c>
      <c r="L20" s="11"/>
    </row>
    <row r="21" spans="1:12" ht="18.75">
      <c r="A21" s="7"/>
      <c r="B21" s="218" t="s">
        <v>27</v>
      </c>
      <c r="C21" s="7" t="s">
        <v>28</v>
      </c>
      <c r="D21" s="34">
        <v>5700</v>
      </c>
      <c r="E21" s="34">
        <v>5868.942</v>
      </c>
      <c r="F21" s="34">
        <f>ROUND(E21/D21*100,1)</f>
        <v>103</v>
      </c>
      <c r="G21" s="34">
        <f t="shared" ref="G21:G31" si="1">E21-D21</f>
        <v>168.94200000000001</v>
      </c>
      <c r="H21" s="34">
        <v>4509.0640000000003</v>
      </c>
      <c r="I21" s="9">
        <f t="shared" si="0"/>
        <v>130.19999999999999</v>
      </c>
      <c r="J21" t="s">
        <v>22</v>
      </c>
    </row>
    <row r="22" spans="1:12" ht="18.75">
      <c r="A22" s="7"/>
      <c r="B22" s="218" t="s">
        <v>29</v>
      </c>
      <c r="C22" s="7" t="s">
        <v>28</v>
      </c>
      <c r="D22" s="34">
        <v>43050</v>
      </c>
      <c r="E22" s="34">
        <v>29935.1325</v>
      </c>
      <c r="F22" s="34">
        <f>ROUND(E22/D22*100,1)</f>
        <v>69.5</v>
      </c>
      <c r="G22" s="34">
        <f t="shared" si="1"/>
        <v>-13114.8675</v>
      </c>
      <c r="H22" s="34">
        <v>23590.511999999999</v>
      </c>
      <c r="I22" s="9">
        <f t="shared" si="0"/>
        <v>126.9</v>
      </c>
      <c r="J22" t="s">
        <v>22</v>
      </c>
    </row>
    <row r="23" spans="1:12" ht="18.75" hidden="1" outlineLevel="1">
      <c r="A23" s="7"/>
      <c r="B23" s="218" t="s">
        <v>30</v>
      </c>
      <c r="C23" s="7" t="s">
        <v>28</v>
      </c>
      <c r="D23" s="34"/>
      <c r="E23" s="34"/>
      <c r="F23" s="34"/>
      <c r="G23" s="34">
        <f t="shared" si="1"/>
        <v>0</v>
      </c>
      <c r="H23" s="34"/>
      <c r="I23" s="9">
        <f t="shared" si="0"/>
        <v>0</v>
      </c>
      <c r="J23" t="s">
        <v>22</v>
      </c>
    </row>
    <row r="24" spans="1:12" ht="18.75" collapsed="1">
      <c r="A24" s="7"/>
      <c r="B24" s="218" t="s">
        <v>31</v>
      </c>
      <c r="C24" s="7" t="s">
        <v>28</v>
      </c>
      <c r="D24" s="195"/>
      <c r="E24" s="195"/>
      <c r="F24" s="195">
        <v>0</v>
      </c>
      <c r="G24" s="195">
        <v>0</v>
      </c>
      <c r="H24" s="195"/>
      <c r="I24" s="195">
        <v>0</v>
      </c>
      <c r="J24" t="s">
        <v>22</v>
      </c>
    </row>
    <row r="25" spans="1:12" ht="15.75">
      <c r="A25" s="7" t="s">
        <v>32</v>
      </c>
      <c r="B25" s="219" t="s">
        <v>33</v>
      </c>
      <c r="C25" s="9" t="s">
        <v>34</v>
      </c>
      <c r="D25" s="18">
        <v>888</v>
      </c>
      <c r="E25" s="18">
        <v>2474</v>
      </c>
      <c r="F25" s="18">
        <f t="shared" ref="F25:F29" si="2">ROUND(E25/D25*100,1)</f>
        <v>278.60000000000002</v>
      </c>
      <c r="G25" s="18">
        <f t="shared" si="1"/>
        <v>1586</v>
      </c>
      <c r="H25" s="18">
        <v>1500</v>
      </c>
      <c r="I25" s="9">
        <f t="shared" si="0"/>
        <v>164.9</v>
      </c>
      <c r="J25" t="s">
        <v>22</v>
      </c>
    </row>
    <row r="26" spans="1:12" s="19" customFormat="1" ht="31.5">
      <c r="A26" s="34" t="s">
        <v>35</v>
      </c>
      <c r="B26" s="220" t="s">
        <v>36</v>
      </c>
      <c r="C26" s="18" t="s">
        <v>37</v>
      </c>
      <c r="D26" s="18">
        <v>1673338.6629999999</v>
      </c>
      <c r="E26" s="18">
        <v>1730435.3589999999</v>
      </c>
      <c r="F26" s="18">
        <f t="shared" si="2"/>
        <v>103.4</v>
      </c>
      <c r="G26" s="18">
        <f t="shared" si="1"/>
        <v>57096.695999999996</v>
      </c>
      <c r="H26" s="18">
        <v>1638984.0220000001</v>
      </c>
      <c r="I26" s="18">
        <f t="shared" si="0"/>
        <v>105.6</v>
      </c>
      <c r="J26" t="s">
        <v>22</v>
      </c>
      <c r="K26"/>
    </row>
    <row r="27" spans="1:12" s="19" customFormat="1" ht="19.5" customHeight="1">
      <c r="A27" s="18" t="s">
        <v>38</v>
      </c>
      <c r="B27" s="221" t="s">
        <v>231</v>
      </c>
      <c r="C27" s="18" t="s">
        <v>37</v>
      </c>
      <c r="D27" s="18">
        <v>639.10900000000004</v>
      </c>
      <c r="E27" s="242">
        <v>365.46300000000002</v>
      </c>
      <c r="F27" s="18">
        <f t="shared" si="2"/>
        <v>57.2</v>
      </c>
      <c r="G27" s="18">
        <f>E27-D27</f>
        <v>-273.64600000000002</v>
      </c>
      <c r="H27" s="242">
        <f>990/1000</f>
        <v>0.99</v>
      </c>
      <c r="I27" s="18">
        <f t="shared" si="0"/>
        <v>36915.5</v>
      </c>
      <c r="J27" t="s">
        <v>22</v>
      </c>
      <c r="K27"/>
    </row>
    <row r="28" spans="1:12" ht="31.5">
      <c r="A28" s="7" t="s">
        <v>39</v>
      </c>
      <c r="B28" s="219" t="s">
        <v>225</v>
      </c>
      <c r="C28" s="18" t="s">
        <v>37</v>
      </c>
      <c r="D28" s="18">
        <v>332920</v>
      </c>
      <c r="E28" s="18">
        <v>389825.54</v>
      </c>
      <c r="F28" s="18">
        <f t="shared" si="2"/>
        <v>117.1</v>
      </c>
      <c r="G28" s="18">
        <f t="shared" si="1"/>
        <v>56905.539999999979</v>
      </c>
      <c r="H28" s="18">
        <v>324050.06099999999</v>
      </c>
      <c r="I28" s="9">
        <f t="shared" si="0"/>
        <v>120.3</v>
      </c>
      <c r="J28" t="s">
        <v>22</v>
      </c>
    </row>
    <row r="29" spans="1:12" ht="19.5" customHeight="1">
      <c r="A29" s="9" t="s">
        <v>41</v>
      </c>
      <c r="B29" s="222" t="s">
        <v>42</v>
      </c>
      <c r="C29" s="18" t="s">
        <v>37</v>
      </c>
      <c r="D29" s="18">
        <v>5826.6799999999994</v>
      </c>
      <c r="E29" s="18">
        <v>6099.1910000000007</v>
      </c>
      <c r="F29" s="18">
        <f t="shared" si="2"/>
        <v>104.7</v>
      </c>
      <c r="G29" s="18">
        <f t="shared" si="1"/>
        <v>272.51100000000133</v>
      </c>
      <c r="H29" s="18">
        <v>5718.6</v>
      </c>
      <c r="I29" s="9">
        <f>IF(H29&gt;0,ROUND(E29/H29*100,1),0)</f>
        <v>106.7</v>
      </c>
      <c r="J29" t="s">
        <v>22</v>
      </c>
    </row>
    <row r="30" spans="1:12" ht="21.75" customHeight="1">
      <c r="A30" s="278" t="s">
        <v>43</v>
      </c>
      <c r="B30" s="279"/>
      <c r="C30" s="279"/>
      <c r="D30" s="279"/>
      <c r="E30" s="279"/>
      <c r="F30" s="279"/>
      <c r="G30" s="279"/>
      <c r="H30" s="279"/>
      <c r="I30" s="279"/>
    </row>
    <row r="31" spans="1:12" ht="32.25" hidden="1" customHeight="1" outlineLevel="1">
      <c r="A31" s="9" t="s">
        <v>44</v>
      </c>
      <c r="B31" s="18" t="s">
        <v>45</v>
      </c>
      <c r="C31" s="18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7" t="s">
        <v>44</v>
      </c>
      <c r="B32" s="219" t="s">
        <v>48</v>
      </c>
      <c r="C32" s="18" t="s">
        <v>37</v>
      </c>
      <c r="D32" s="23"/>
      <c r="E32" s="23"/>
      <c r="F32" s="23"/>
      <c r="G32" s="23"/>
      <c r="H32" s="18">
        <v>0</v>
      </c>
      <c r="I32" s="18">
        <f>IF(H32&gt;0,ROUND(E32/H32*100,1),0)</f>
        <v>0</v>
      </c>
    </row>
    <row r="33" spans="1:10" ht="15.75">
      <c r="A33" s="7" t="s">
        <v>47</v>
      </c>
      <c r="B33" s="217" t="s">
        <v>50</v>
      </c>
      <c r="C33" s="18" t="s">
        <v>37</v>
      </c>
      <c r="D33" s="26">
        <f>D35+D39+D40+D41+D42+D43+D45+D44</f>
        <v>178116.88499999983</v>
      </c>
      <c r="E33" s="26">
        <f>E35+E39+E40+E41+E42+E43+E45+E44</f>
        <v>211830.353687</v>
      </c>
      <c r="F33" s="26">
        <f t="shared" ref="F33" si="3">ROUND(E33/D33*100,1)</f>
        <v>118.9</v>
      </c>
      <c r="G33" s="26">
        <f t="shared" ref="G33:G44" si="4">E33-D33</f>
        <v>33713.468687000161</v>
      </c>
      <c r="H33" s="26">
        <f>H35+H39+H40+H41+H42+H43+H45+H44</f>
        <v>214135.63899999991</v>
      </c>
      <c r="I33" s="26">
        <f>IF(H33&gt;0,ROUND(E33/H33*100,1),0)</f>
        <v>98.9</v>
      </c>
      <c r="J33" t="s">
        <v>51</v>
      </c>
    </row>
    <row r="34" spans="1:10" ht="15.75">
      <c r="A34" s="34"/>
      <c r="B34" s="220" t="s">
        <v>52</v>
      </c>
      <c r="C34" s="18" t="s">
        <v>37</v>
      </c>
      <c r="D34" s="27"/>
      <c r="E34" s="27"/>
      <c r="F34" s="27"/>
      <c r="G34" s="27">
        <f t="shared" si="4"/>
        <v>0</v>
      </c>
      <c r="H34" s="28"/>
      <c r="I34" s="28"/>
    </row>
    <row r="35" spans="1:10" ht="15.75">
      <c r="A35" s="34"/>
      <c r="B35" s="223" t="s">
        <v>53</v>
      </c>
      <c r="C35" s="18" t="s">
        <v>37</v>
      </c>
      <c r="D35" s="28">
        <f>D37+D38</f>
        <v>5579.4849999998314</v>
      </c>
      <c r="E35" s="28">
        <f>E96</f>
        <v>563.91086499997436</v>
      </c>
      <c r="F35" s="28"/>
      <c r="G35" s="28">
        <f t="shared" si="4"/>
        <v>-5015.5741349998571</v>
      </c>
      <c r="H35" s="28">
        <f>H96</f>
        <v>36882.734999999891</v>
      </c>
      <c r="I35" s="28">
        <f>IF(H35&gt;0,ROUND(E35/H35*100,1),0)</f>
        <v>1.5</v>
      </c>
      <c r="J35" t="s">
        <v>51</v>
      </c>
    </row>
    <row r="36" spans="1:10" ht="15.75">
      <c r="A36" s="34"/>
      <c r="B36" s="223" t="s">
        <v>54</v>
      </c>
      <c r="C36" s="18" t="s">
        <v>37</v>
      </c>
      <c r="D36" s="28"/>
      <c r="E36" s="28"/>
      <c r="F36" s="28"/>
      <c r="G36" s="28"/>
      <c r="H36" s="28"/>
      <c r="I36" s="28"/>
    </row>
    <row r="37" spans="1:10" ht="15.75">
      <c r="A37" s="34"/>
      <c r="B37" s="224" t="s">
        <v>55</v>
      </c>
      <c r="C37" s="18" t="s">
        <v>37</v>
      </c>
      <c r="D37" s="28">
        <f>D96</f>
        <v>5579.4849999998314</v>
      </c>
      <c r="E37" s="28">
        <f>E35</f>
        <v>563.91086499997436</v>
      </c>
      <c r="F37" s="28">
        <f t="shared" ref="F37" si="5">ROUND(E37/D37*100,1)</f>
        <v>10.1</v>
      </c>
      <c r="G37" s="28">
        <f t="shared" ref="G37" si="6">E37-D37</f>
        <v>-5015.5741349998571</v>
      </c>
      <c r="H37" s="28">
        <f>H35</f>
        <v>36882.734999999891</v>
      </c>
      <c r="I37" s="28">
        <f>IF(H37&gt;0,ROUND(E37/H37*100,1),0)</f>
        <v>1.5</v>
      </c>
    </row>
    <row r="38" spans="1:10" ht="15.75">
      <c r="A38" s="34"/>
      <c r="B38" s="224" t="s">
        <v>56</v>
      </c>
      <c r="C38" s="18" t="s">
        <v>37</v>
      </c>
      <c r="D38" s="28">
        <v>0</v>
      </c>
      <c r="E38" s="28">
        <v>0</v>
      </c>
      <c r="F38" s="28"/>
      <c r="G38" s="28">
        <f t="shared" si="4"/>
        <v>0</v>
      </c>
      <c r="H38" s="28">
        <v>0</v>
      </c>
      <c r="I38" s="28"/>
    </row>
    <row r="39" spans="1:10" ht="15.75">
      <c r="A39" s="34"/>
      <c r="B39" s="223" t="s">
        <v>57</v>
      </c>
      <c r="C39" s="18" t="s">
        <v>37</v>
      </c>
      <c r="D39" s="28">
        <f>D129</f>
        <v>172537.4</v>
      </c>
      <c r="E39" s="28">
        <f>E129</f>
        <v>211266.44282200001</v>
      </c>
      <c r="F39" s="28">
        <f t="shared" ref="F39" si="7">ROUND(E39/D39*100,1)</f>
        <v>122.4</v>
      </c>
      <c r="G39" s="28">
        <f t="shared" si="4"/>
        <v>38729.042822000018</v>
      </c>
      <c r="H39" s="28">
        <f>H129</f>
        <v>177252.90400000001</v>
      </c>
      <c r="I39" s="28">
        <f>IF(H39&gt;0,ROUND(E39/H39*100,1),0)</f>
        <v>119.2</v>
      </c>
      <c r="J39" t="s">
        <v>58</v>
      </c>
    </row>
    <row r="40" spans="1:10" ht="15.75">
      <c r="A40" s="34"/>
      <c r="B40" s="225" t="s">
        <v>59</v>
      </c>
      <c r="C40" s="18" t="s">
        <v>37</v>
      </c>
      <c r="D40" s="28"/>
      <c r="E40" s="28"/>
      <c r="F40" s="27"/>
      <c r="G40" s="27">
        <f t="shared" si="4"/>
        <v>0</v>
      </c>
      <c r="H40" s="28"/>
      <c r="I40" s="28"/>
    </row>
    <row r="41" spans="1:10" ht="33.75" customHeight="1">
      <c r="A41" s="226"/>
      <c r="B41" s="225" t="s">
        <v>60</v>
      </c>
      <c r="C41" s="18" t="s">
        <v>37</v>
      </c>
      <c r="D41" s="27"/>
      <c r="E41" s="28"/>
      <c r="F41" s="27"/>
      <c r="G41" s="27">
        <f t="shared" si="4"/>
        <v>0</v>
      </c>
      <c r="H41" s="28"/>
      <c r="I41" s="28"/>
      <c r="J41" t="s">
        <v>51</v>
      </c>
    </row>
    <row r="42" spans="1:10" ht="15.75" hidden="1" outlineLevel="1">
      <c r="A42" s="34"/>
      <c r="B42" s="223" t="s">
        <v>61</v>
      </c>
      <c r="C42" s="18" t="s">
        <v>37</v>
      </c>
      <c r="D42" s="18"/>
      <c r="E42" s="18"/>
      <c r="F42" s="23"/>
      <c r="G42" s="27">
        <f t="shared" si="4"/>
        <v>0</v>
      </c>
      <c r="H42" s="18"/>
      <c r="I42" s="18"/>
    </row>
    <row r="43" spans="1:10" ht="15.75" collapsed="1">
      <c r="A43" s="34"/>
      <c r="B43" s="225" t="s">
        <v>62</v>
      </c>
      <c r="C43" s="18" t="s">
        <v>37</v>
      </c>
      <c r="D43" s="18"/>
      <c r="E43" s="18"/>
      <c r="F43" s="18"/>
      <c r="G43" s="27">
        <f t="shared" si="4"/>
        <v>0</v>
      </c>
      <c r="H43" s="18"/>
      <c r="I43" s="18"/>
    </row>
    <row r="44" spans="1:10" ht="15.75">
      <c r="A44" s="34"/>
      <c r="B44" s="225" t="s">
        <v>63</v>
      </c>
      <c r="C44" s="18" t="s">
        <v>37</v>
      </c>
      <c r="D44" s="18"/>
      <c r="E44" s="18"/>
      <c r="F44" s="18"/>
      <c r="G44" s="27">
        <f t="shared" si="4"/>
        <v>0</v>
      </c>
      <c r="H44" s="18"/>
      <c r="I44" s="18"/>
    </row>
    <row r="45" spans="1:10" ht="15.75" customHeight="1">
      <c r="A45" s="34"/>
      <c r="B45" s="223" t="s">
        <v>64</v>
      </c>
      <c r="C45" s="18" t="s">
        <v>37</v>
      </c>
      <c r="D45" s="18"/>
      <c r="E45" s="18"/>
      <c r="F45" s="18"/>
      <c r="G45" s="18"/>
      <c r="H45" s="18"/>
      <c r="I45" s="18"/>
    </row>
    <row r="46" spans="1:10" ht="47.25" hidden="1" outlineLevel="1">
      <c r="A46" s="34"/>
      <c r="B46" s="220" t="s">
        <v>65</v>
      </c>
      <c r="C46" s="18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0" ht="15.75" collapsed="1">
      <c r="A47" s="280" t="s">
        <v>66</v>
      </c>
      <c r="B47" s="280"/>
      <c r="C47" s="280"/>
      <c r="D47" s="280"/>
      <c r="E47" s="280"/>
      <c r="F47" s="280"/>
      <c r="G47" s="280"/>
      <c r="H47" s="280"/>
      <c r="I47" s="280"/>
    </row>
    <row r="48" spans="1:10" ht="15.75">
      <c r="A48" s="34" t="s">
        <v>49</v>
      </c>
      <c r="B48" s="227" t="s">
        <v>68</v>
      </c>
      <c r="C48" s="34"/>
      <c r="D48" s="34"/>
      <c r="E48" s="34"/>
      <c r="F48" s="34"/>
      <c r="G48" s="34"/>
      <c r="H48" s="34"/>
      <c r="I48" s="34"/>
    </row>
    <row r="49" spans="1:12" ht="15.75" hidden="1" outlineLevel="1">
      <c r="A49" s="34"/>
      <c r="B49" s="220" t="s">
        <v>69</v>
      </c>
      <c r="C49" s="18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2" ht="15.75" hidden="1" outlineLevel="1">
      <c r="A50" s="34"/>
      <c r="B50" s="34" t="s">
        <v>12</v>
      </c>
      <c r="C50" s="18"/>
      <c r="D50" s="53"/>
      <c r="E50" s="53"/>
      <c r="F50" s="53"/>
      <c r="G50" s="53"/>
      <c r="H50" s="53"/>
      <c r="I50" s="53"/>
    </row>
    <row r="51" spans="1:12" ht="15.75" collapsed="1">
      <c r="A51" s="34"/>
      <c r="B51" s="223" t="s">
        <v>71</v>
      </c>
      <c r="C51" s="18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18" t="s">
        <v>73</v>
      </c>
      <c r="I51" s="18" t="s">
        <v>73</v>
      </c>
    </row>
    <row r="52" spans="1:12" ht="15.75" hidden="1" outlineLevel="1">
      <c r="A52" s="34"/>
      <c r="B52" s="220" t="s">
        <v>74</v>
      </c>
      <c r="C52" s="18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2" ht="15.75" hidden="1" outlineLevel="1">
      <c r="A53" s="34"/>
      <c r="B53" s="220" t="s">
        <v>75</v>
      </c>
      <c r="C53" s="18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2" ht="15.75" collapsed="1">
      <c r="A54" s="34" t="s">
        <v>67</v>
      </c>
      <c r="B54" s="227" t="s">
        <v>77</v>
      </c>
      <c r="C54" s="18"/>
      <c r="D54" s="53"/>
      <c r="E54" s="53"/>
      <c r="F54" s="53"/>
      <c r="G54" s="53"/>
      <c r="H54" s="53"/>
      <c r="I54" s="53"/>
    </row>
    <row r="55" spans="1:12" ht="15.75">
      <c r="A55" s="34"/>
      <c r="B55" s="223" t="s">
        <v>78</v>
      </c>
      <c r="C55" s="18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2" ht="15.75" hidden="1" outlineLevel="1">
      <c r="A56" s="34"/>
      <c r="B56" s="220" t="s">
        <v>80</v>
      </c>
      <c r="C56" s="18" t="s">
        <v>81</v>
      </c>
      <c r="D56" s="55"/>
      <c r="E56" s="53"/>
      <c r="F56" s="53"/>
      <c r="G56" s="53"/>
      <c r="H56" s="53"/>
      <c r="I56" s="53"/>
    </row>
    <row r="57" spans="1:12" ht="24.75" hidden="1" customHeight="1" outlineLevel="1">
      <c r="A57" s="34"/>
      <c r="B57" s="220" t="s">
        <v>82</v>
      </c>
      <c r="C57" s="18" t="s">
        <v>81</v>
      </c>
      <c r="D57" s="53">
        <v>0</v>
      </c>
      <c r="E57" s="53"/>
      <c r="F57" s="53"/>
      <c r="G57" s="53"/>
      <c r="H57" s="53"/>
      <c r="I57" s="53"/>
    </row>
    <row r="58" spans="1:12" ht="15.75" collapsed="1">
      <c r="A58" s="281" t="s">
        <v>83</v>
      </c>
      <c r="B58" s="281"/>
      <c r="C58" s="281"/>
      <c r="D58" s="281"/>
      <c r="E58" s="281"/>
      <c r="F58" s="281"/>
      <c r="G58" s="281"/>
      <c r="H58" s="281"/>
      <c r="I58" s="281"/>
    </row>
    <row r="59" spans="1:12" ht="15.75">
      <c r="A59" s="34" t="s">
        <v>76</v>
      </c>
      <c r="B59" s="220" t="s">
        <v>85</v>
      </c>
      <c r="C59" s="18" t="s">
        <v>86</v>
      </c>
      <c r="D59" s="28"/>
      <c r="E59" s="28"/>
      <c r="F59" s="28" t="e">
        <f>ROUND(E59/D59*100,1)</f>
        <v>#DIV/0!</v>
      </c>
      <c r="G59" s="28">
        <f>E59-D59</f>
        <v>0</v>
      </c>
      <c r="H59" s="28">
        <v>5615</v>
      </c>
      <c r="I59" s="28">
        <f t="shared" ref="I59:I64" si="8">IF(H59&gt;0,ROUND(E59/H59*100,1),0)</f>
        <v>0</v>
      </c>
      <c r="J59" t="s">
        <v>87</v>
      </c>
    </row>
    <row r="60" spans="1:12" ht="31.5" hidden="1" outlineLevel="1">
      <c r="A60" s="34" t="s">
        <v>88</v>
      </c>
      <c r="B60" s="220" t="s">
        <v>89</v>
      </c>
      <c r="C60" s="18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8"/>
        <v>0</v>
      </c>
    </row>
    <row r="61" spans="1:12" ht="15.75" collapsed="1">
      <c r="A61" s="34" t="s">
        <v>84</v>
      </c>
      <c r="B61" s="220" t="s">
        <v>92</v>
      </c>
      <c r="C61" s="18" t="s">
        <v>37</v>
      </c>
      <c r="D61" s="33"/>
      <c r="E61" s="33"/>
      <c r="F61" s="28" t="e">
        <f>ROUND(E61/D61*100,1)</f>
        <v>#DIV/0!</v>
      </c>
      <c r="G61" s="28">
        <f>E61-D61</f>
        <v>0</v>
      </c>
      <c r="H61" s="33">
        <v>425086.6</v>
      </c>
      <c r="I61" s="28">
        <f t="shared" si="8"/>
        <v>0</v>
      </c>
      <c r="J61" t="s">
        <v>87</v>
      </c>
    </row>
    <row r="62" spans="1:12" ht="15.75">
      <c r="A62" s="34" t="s">
        <v>88</v>
      </c>
      <c r="B62" s="220" t="s">
        <v>94</v>
      </c>
      <c r="C62" s="18" t="s">
        <v>95</v>
      </c>
      <c r="D62" s="28"/>
      <c r="E62" s="28"/>
      <c r="F62" s="28" t="e">
        <f>ROUND(E62/D62*100,1)</f>
        <v>#DIV/0!</v>
      </c>
      <c r="G62" s="28">
        <f>E62-D62</f>
        <v>0</v>
      </c>
      <c r="H62" s="28">
        <v>6280.7</v>
      </c>
      <c r="I62" s="28">
        <f t="shared" si="8"/>
        <v>0</v>
      </c>
      <c r="J62" t="s">
        <v>87</v>
      </c>
      <c r="L62">
        <v>563699649</v>
      </c>
    </row>
    <row r="63" spans="1:12" ht="15.75">
      <c r="A63" s="34" t="s">
        <v>91</v>
      </c>
      <c r="B63" s="220" t="s">
        <v>97</v>
      </c>
      <c r="C63" s="18" t="s">
        <v>37</v>
      </c>
      <c r="D63" s="18"/>
      <c r="E63" s="18"/>
      <c r="F63" s="28"/>
      <c r="G63" s="18"/>
      <c r="H63" s="18">
        <v>2378849</v>
      </c>
      <c r="I63" s="18">
        <f t="shared" si="8"/>
        <v>0</v>
      </c>
      <c r="J63" t="s">
        <v>58</v>
      </c>
      <c r="L63">
        <v>461145397.5</v>
      </c>
    </row>
    <row r="64" spans="1:12" ht="15.75" hidden="1" outlineLevel="1">
      <c r="A64" s="34" t="s">
        <v>98</v>
      </c>
      <c r="B64" s="220" t="s">
        <v>99</v>
      </c>
      <c r="C64" s="18" t="s">
        <v>37</v>
      </c>
      <c r="D64" s="58"/>
      <c r="E64" s="58"/>
      <c r="F64" s="59"/>
      <c r="G64" s="58"/>
      <c r="H64" s="58"/>
      <c r="I64" s="59">
        <f t="shared" si="8"/>
        <v>0</v>
      </c>
      <c r="J64" s="31"/>
    </row>
    <row r="65" spans="1:13" ht="15.75" collapsed="1">
      <c r="A65" s="34" t="s">
        <v>93</v>
      </c>
      <c r="B65" s="220" t="s">
        <v>101</v>
      </c>
      <c r="C65" s="18" t="s">
        <v>102</v>
      </c>
      <c r="D65" s="60">
        <v>269182.59999999998</v>
      </c>
      <c r="E65" s="28">
        <v>210375.2</v>
      </c>
      <c r="F65" s="28">
        <f>ROUND(E65/D65*100,1)</f>
        <v>78.2</v>
      </c>
      <c r="G65" s="28">
        <f>E65-D65</f>
        <v>-58807.399999999965</v>
      </c>
      <c r="H65" s="28">
        <v>185682.88</v>
      </c>
      <c r="I65" s="28">
        <f>ROUND(E65/H65*100,1)</f>
        <v>113.3</v>
      </c>
      <c r="J65" t="s">
        <v>103</v>
      </c>
      <c r="L65">
        <v>102554251.5</v>
      </c>
    </row>
    <row r="66" spans="1:13" ht="15.75" hidden="1" outlineLevel="1">
      <c r="A66" s="34"/>
      <c r="B66" s="34" t="s">
        <v>12</v>
      </c>
      <c r="C66" s="18"/>
      <c r="D66" s="53"/>
      <c r="E66" s="53"/>
      <c r="F66" s="53"/>
      <c r="G66" s="53"/>
      <c r="H66" s="53"/>
      <c r="I66" s="53"/>
    </row>
    <row r="67" spans="1:13" ht="15.75" hidden="1" outlineLevel="1">
      <c r="A67" s="34"/>
      <c r="B67" s="220" t="s">
        <v>104</v>
      </c>
      <c r="C67" s="18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34"/>
      <c r="B68" s="220" t="s">
        <v>105</v>
      </c>
      <c r="C68" s="18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81" t="s">
        <v>106</v>
      </c>
      <c r="B69" s="281"/>
      <c r="C69" s="281"/>
      <c r="D69" s="281"/>
      <c r="E69" s="281"/>
      <c r="F69" s="281"/>
      <c r="G69" s="281"/>
      <c r="H69" s="281"/>
      <c r="I69" s="281"/>
    </row>
    <row r="70" spans="1:13" ht="15.75">
      <c r="A70" s="34" t="s">
        <v>96</v>
      </c>
      <c r="B70" s="220" t="s">
        <v>108</v>
      </c>
      <c r="C70" s="18" t="s">
        <v>37</v>
      </c>
      <c r="D70" s="28">
        <v>2199889.9</v>
      </c>
      <c r="E70" s="18">
        <v>1657296.0236170001</v>
      </c>
      <c r="F70" s="18">
        <f t="shared" ref="F70:F96" si="9">ROUND(E70/D70*100,1)</f>
        <v>75.3</v>
      </c>
      <c r="G70" s="18">
        <f>E70-D70</f>
        <v>-542593.87638299982</v>
      </c>
      <c r="H70" s="18">
        <v>1588768.63</v>
      </c>
      <c r="I70" s="18">
        <f t="shared" ref="I70:I85" si="10">ROUND(E70/H70*100,1)</f>
        <v>104.3</v>
      </c>
      <c r="J70" t="s">
        <v>103</v>
      </c>
      <c r="M70">
        <f>1759313-152984-76292-1017231</f>
        <v>512806</v>
      </c>
    </row>
    <row r="71" spans="1:13" ht="15.75">
      <c r="A71" s="34" t="s">
        <v>98</v>
      </c>
      <c r="B71" s="220" t="s">
        <v>110</v>
      </c>
      <c r="C71" s="18" t="s">
        <v>37</v>
      </c>
      <c r="D71" s="28">
        <v>1782497.1</v>
      </c>
      <c r="E71" s="18">
        <v>1306582.4779360001</v>
      </c>
      <c r="F71" s="18">
        <f t="shared" si="9"/>
        <v>73.3</v>
      </c>
      <c r="G71" s="18">
        <f>E71-D71</f>
        <v>-475914.622064</v>
      </c>
      <c r="H71" s="18">
        <v>1087758.655</v>
      </c>
      <c r="I71" s="18">
        <f t="shared" si="10"/>
        <v>120.1</v>
      </c>
      <c r="J71" t="s">
        <v>103</v>
      </c>
    </row>
    <row r="72" spans="1:13" ht="15.75">
      <c r="A72" s="34" t="s">
        <v>100</v>
      </c>
      <c r="B72" s="220" t="s">
        <v>112</v>
      </c>
      <c r="C72" s="18" t="s">
        <v>37</v>
      </c>
      <c r="D72" s="33">
        <f>D70-D71</f>
        <v>417392.79999999981</v>
      </c>
      <c r="E72" s="33">
        <f>E70-E71</f>
        <v>350713.54568099999</v>
      </c>
      <c r="F72" s="34">
        <f t="shared" si="9"/>
        <v>84</v>
      </c>
      <c r="G72" s="18">
        <f>E72-D72</f>
        <v>-66679.254318999825</v>
      </c>
      <c r="H72" s="33">
        <f>H70-H71</f>
        <v>501009.97499999986</v>
      </c>
      <c r="I72" s="34">
        <f t="shared" si="10"/>
        <v>70</v>
      </c>
      <c r="J72" t="s">
        <v>103</v>
      </c>
      <c r="M72" s="11">
        <f>D72-D73</f>
        <v>140745.5999999998</v>
      </c>
    </row>
    <row r="73" spans="1:13" ht="15.75">
      <c r="A73" s="34" t="s">
        <v>107</v>
      </c>
      <c r="B73" s="227" t="s">
        <v>113</v>
      </c>
      <c r="C73" s="18" t="s">
        <v>37</v>
      </c>
      <c r="D73" s="26">
        <f>D74+D75+D76</f>
        <v>276647.2</v>
      </c>
      <c r="E73" s="6">
        <f>E74+E75+E76</f>
        <v>339732.94707200001</v>
      </c>
      <c r="F73" s="6">
        <f t="shared" si="9"/>
        <v>122.8</v>
      </c>
      <c r="G73" s="6">
        <f t="shared" ref="G73:G96" si="11">E73-D73</f>
        <v>63085.747071999998</v>
      </c>
      <c r="H73" s="6">
        <f>H74+H75+H76</f>
        <v>337413.21399999998</v>
      </c>
      <c r="I73" s="6">
        <f t="shared" si="10"/>
        <v>100.7</v>
      </c>
      <c r="J73" t="s">
        <v>103</v>
      </c>
      <c r="M73" s="11">
        <f>M72+D77</f>
        <v>140745.5999999998</v>
      </c>
    </row>
    <row r="74" spans="1:13" ht="15.75">
      <c r="A74" s="34"/>
      <c r="B74" s="228" t="s">
        <v>114</v>
      </c>
      <c r="C74" s="18" t="s">
        <v>37</v>
      </c>
      <c r="D74" s="28">
        <v>11046.9</v>
      </c>
      <c r="E74" s="34">
        <v>14478.872708999999</v>
      </c>
      <c r="F74" s="34">
        <f t="shared" si="9"/>
        <v>131.1</v>
      </c>
      <c r="G74" s="18">
        <f t="shared" si="11"/>
        <v>3431.9727089999997</v>
      </c>
      <c r="H74" s="34">
        <v>14146.669</v>
      </c>
      <c r="I74" s="34">
        <f t="shared" si="10"/>
        <v>102.3</v>
      </c>
      <c r="J74" t="s">
        <v>103</v>
      </c>
    </row>
    <row r="75" spans="1:13" ht="15.75">
      <c r="A75" s="34"/>
      <c r="B75" s="228" t="s">
        <v>115</v>
      </c>
      <c r="C75" s="18" t="s">
        <v>37</v>
      </c>
      <c r="D75" s="28">
        <v>80992.2</v>
      </c>
      <c r="E75" s="34">
        <v>73637.736023000005</v>
      </c>
      <c r="F75" s="18">
        <f t="shared" si="9"/>
        <v>90.9</v>
      </c>
      <c r="G75" s="18">
        <f t="shared" si="11"/>
        <v>-7354.4639769999922</v>
      </c>
      <c r="H75" s="34">
        <v>77192.678</v>
      </c>
      <c r="I75" s="18">
        <f t="shared" si="10"/>
        <v>95.4</v>
      </c>
      <c r="J75" t="s">
        <v>103</v>
      </c>
    </row>
    <row r="76" spans="1:13" ht="15.75">
      <c r="A76" s="34"/>
      <c r="B76" s="228" t="s">
        <v>116</v>
      </c>
      <c r="C76" s="18" t="s">
        <v>37</v>
      </c>
      <c r="D76" s="28">
        <v>184608.1</v>
      </c>
      <c r="E76" s="34">
        <v>251616.33833999999</v>
      </c>
      <c r="F76" s="18">
        <f t="shared" si="9"/>
        <v>136.30000000000001</v>
      </c>
      <c r="G76" s="18">
        <f t="shared" si="11"/>
        <v>67008.238339999982</v>
      </c>
      <c r="H76" s="34">
        <v>246073.867</v>
      </c>
      <c r="I76" s="18">
        <f t="shared" si="10"/>
        <v>102.3</v>
      </c>
      <c r="J76" t="s">
        <v>103</v>
      </c>
    </row>
    <row r="77" spans="1:13" ht="15.75">
      <c r="A77" s="34"/>
      <c r="B77" s="220" t="s">
        <v>117</v>
      </c>
      <c r="C77" s="18" t="s">
        <v>37</v>
      </c>
      <c r="D77" s="28">
        <v>0</v>
      </c>
      <c r="E77" s="34">
        <v>60692.169588999997</v>
      </c>
      <c r="F77" s="18"/>
      <c r="G77" s="18">
        <f t="shared" si="11"/>
        <v>60692.169588999997</v>
      </c>
      <c r="H77" s="34">
        <v>55159.235999999997</v>
      </c>
      <c r="I77" s="18">
        <f t="shared" si="10"/>
        <v>110</v>
      </c>
      <c r="J77" t="s">
        <v>103</v>
      </c>
    </row>
    <row r="78" spans="1:13" ht="15.75">
      <c r="A78" s="34"/>
      <c r="B78" s="220" t="s">
        <v>277</v>
      </c>
      <c r="C78" s="18" t="s">
        <v>37</v>
      </c>
      <c r="D78" s="28"/>
      <c r="E78" s="34">
        <v>0</v>
      </c>
      <c r="F78" s="18"/>
      <c r="G78" s="18">
        <f t="shared" si="11"/>
        <v>0</v>
      </c>
      <c r="H78" s="34">
        <v>0</v>
      </c>
      <c r="I78" s="18" t="e">
        <f t="shared" si="10"/>
        <v>#DIV/0!</v>
      </c>
      <c r="J78" t="s">
        <v>103</v>
      </c>
    </row>
    <row r="79" spans="1:13" ht="15.75">
      <c r="A79" s="34"/>
      <c r="B79" s="220" t="s">
        <v>118</v>
      </c>
      <c r="C79" s="18" t="s">
        <v>37</v>
      </c>
      <c r="D79" s="28">
        <v>134181.5</v>
      </c>
      <c r="E79" s="34">
        <v>64705.525839000002</v>
      </c>
      <c r="F79" s="18">
        <f t="shared" si="9"/>
        <v>48.2</v>
      </c>
      <c r="G79" s="18">
        <f t="shared" si="11"/>
        <v>-69475.974160999991</v>
      </c>
      <c r="H79" s="34">
        <v>177803.416</v>
      </c>
      <c r="I79" s="18">
        <f t="shared" si="10"/>
        <v>36.4</v>
      </c>
    </row>
    <row r="80" spans="1:13" ht="15.75" hidden="1" outlineLevel="1">
      <c r="A80" s="34"/>
      <c r="B80" s="220" t="s">
        <v>120</v>
      </c>
      <c r="C80" s="18" t="s">
        <v>37</v>
      </c>
      <c r="D80" s="33"/>
      <c r="E80" s="34"/>
      <c r="F80" s="18" t="e">
        <f t="shared" si="9"/>
        <v>#DIV/0!</v>
      </c>
      <c r="G80" s="18">
        <f t="shared" si="11"/>
        <v>0</v>
      </c>
      <c r="H80" s="34"/>
      <c r="I80" s="18" t="e">
        <f t="shared" si="10"/>
        <v>#DIV/0!</v>
      </c>
    </row>
    <row r="81" spans="1:10" ht="15.75" hidden="1" outlineLevel="1">
      <c r="A81" s="34"/>
      <c r="B81" s="220" t="s">
        <v>121</v>
      </c>
      <c r="C81" s="18" t="s">
        <v>37</v>
      </c>
      <c r="D81" s="33"/>
      <c r="E81" s="34"/>
      <c r="F81" s="18" t="e">
        <f t="shared" si="9"/>
        <v>#DIV/0!</v>
      </c>
      <c r="G81" s="18">
        <f t="shared" si="11"/>
        <v>0</v>
      </c>
      <c r="H81" s="34"/>
      <c r="I81" s="18" t="e">
        <f t="shared" si="10"/>
        <v>#DIV/0!</v>
      </c>
    </row>
    <row r="82" spans="1:10" ht="15.75" hidden="1" outlineLevel="1">
      <c r="A82" s="34"/>
      <c r="B82" s="220" t="s">
        <v>122</v>
      </c>
      <c r="C82" s="18" t="s">
        <v>37</v>
      </c>
      <c r="D82" s="33"/>
      <c r="E82" s="34"/>
      <c r="F82" s="18" t="e">
        <f t="shared" si="9"/>
        <v>#DIV/0!</v>
      </c>
      <c r="G82" s="18">
        <f t="shared" si="11"/>
        <v>0</v>
      </c>
      <c r="H82" s="34"/>
      <c r="I82" s="18" t="e">
        <f t="shared" si="10"/>
        <v>#DIV/0!</v>
      </c>
    </row>
    <row r="83" spans="1:10" ht="15.75" hidden="1" outlineLevel="1">
      <c r="A83" s="34"/>
      <c r="B83" s="220" t="s">
        <v>123</v>
      </c>
      <c r="C83" s="18" t="s">
        <v>37</v>
      </c>
      <c r="D83" s="33"/>
      <c r="E83" s="34"/>
      <c r="F83" s="18" t="e">
        <f t="shared" si="9"/>
        <v>#DIV/0!</v>
      </c>
      <c r="G83" s="18">
        <f t="shared" si="11"/>
        <v>0</v>
      </c>
      <c r="H83" s="34"/>
      <c r="I83" s="18" t="e">
        <f t="shared" si="10"/>
        <v>#DIV/0!</v>
      </c>
    </row>
    <row r="84" spans="1:10" ht="15.75" hidden="1" outlineLevel="1">
      <c r="A84" s="34"/>
      <c r="B84" s="220" t="s">
        <v>121</v>
      </c>
      <c r="C84" s="18" t="s">
        <v>37</v>
      </c>
      <c r="D84" s="33"/>
      <c r="E84" s="34"/>
      <c r="F84" s="18" t="e">
        <f t="shared" si="9"/>
        <v>#DIV/0!</v>
      </c>
      <c r="G84" s="18">
        <f t="shared" si="11"/>
        <v>0</v>
      </c>
      <c r="H84" s="34"/>
      <c r="I84" s="18" t="e">
        <f t="shared" si="10"/>
        <v>#DIV/0!</v>
      </c>
    </row>
    <row r="85" spans="1:10" ht="15.75" hidden="1" outlineLevel="1">
      <c r="A85" s="34"/>
      <c r="B85" s="220" t="s">
        <v>122</v>
      </c>
      <c r="C85" s="18" t="s">
        <v>37</v>
      </c>
      <c r="D85" s="33"/>
      <c r="E85" s="34"/>
      <c r="F85" s="18" t="e">
        <f t="shared" si="9"/>
        <v>#DIV/0!</v>
      </c>
      <c r="G85" s="18">
        <f t="shared" si="11"/>
        <v>0</v>
      </c>
      <c r="H85" s="34"/>
      <c r="I85" s="18" t="e">
        <f t="shared" si="10"/>
        <v>#DIV/0!</v>
      </c>
    </row>
    <row r="86" spans="1:10" ht="15.75" hidden="1" outlineLevel="1" collapsed="1">
      <c r="A86" s="34"/>
      <c r="B86" s="220" t="s">
        <v>124</v>
      </c>
      <c r="C86" s="18" t="s">
        <v>37</v>
      </c>
      <c r="D86" s="28"/>
      <c r="E86" s="34"/>
      <c r="F86" s="18" t="e">
        <f t="shared" si="9"/>
        <v>#DIV/0!</v>
      </c>
      <c r="G86" s="18">
        <f t="shared" si="11"/>
        <v>0</v>
      </c>
      <c r="H86" s="34"/>
      <c r="I86" s="18"/>
    </row>
    <row r="87" spans="1:10" ht="15.75" hidden="1" outlineLevel="1">
      <c r="A87" s="34"/>
      <c r="B87" s="220" t="s">
        <v>121</v>
      </c>
      <c r="C87" s="18" t="s">
        <v>37</v>
      </c>
      <c r="D87" s="28"/>
      <c r="E87" s="34"/>
      <c r="F87" s="18" t="e">
        <f t="shared" si="9"/>
        <v>#DIV/0!</v>
      </c>
      <c r="G87" s="18">
        <f t="shared" si="11"/>
        <v>0</v>
      </c>
      <c r="H87" s="34"/>
      <c r="I87" s="18" t="e">
        <f>ROUND(E87/H87*100,1)</f>
        <v>#DIV/0!</v>
      </c>
    </row>
    <row r="88" spans="1:10" ht="15.75" hidden="1" outlineLevel="1">
      <c r="A88" s="34"/>
      <c r="B88" s="220" t="s">
        <v>122</v>
      </c>
      <c r="C88" s="18" t="s">
        <v>37</v>
      </c>
      <c r="D88" s="33"/>
      <c r="E88" s="34"/>
      <c r="F88" s="18" t="e">
        <f t="shared" si="9"/>
        <v>#DIV/0!</v>
      </c>
      <c r="G88" s="18">
        <f t="shared" si="11"/>
        <v>0</v>
      </c>
      <c r="H88" s="34"/>
      <c r="I88" s="18"/>
    </row>
    <row r="89" spans="1:10" ht="15.75" collapsed="1">
      <c r="A89" s="34"/>
      <c r="B89" s="220" t="s">
        <v>125</v>
      </c>
      <c r="C89" s="18" t="s">
        <v>37</v>
      </c>
      <c r="D89" s="26">
        <f>D72-D73+D77-D79</f>
        <v>6564.0999999998021</v>
      </c>
      <c r="E89" s="26">
        <f>E72-E73+E77+E78-E79</f>
        <v>6967.2423589999744</v>
      </c>
      <c r="F89" s="6">
        <f t="shared" si="9"/>
        <v>106.1</v>
      </c>
      <c r="G89" s="6">
        <f t="shared" si="11"/>
        <v>403.14235900017229</v>
      </c>
      <c r="H89" s="26">
        <f>H72-H73+H77+H78-H79</f>
        <v>40952.580999999889</v>
      </c>
      <c r="I89" s="6">
        <f t="shared" ref="I89:I96" si="12">ROUND(E89/H89*100,1)</f>
        <v>17</v>
      </c>
      <c r="J89" t="s">
        <v>103</v>
      </c>
    </row>
    <row r="90" spans="1:10" ht="17.25" customHeight="1">
      <c r="A90" s="34"/>
      <c r="B90" s="220" t="s">
        <v>126</v>
      </c>
      <c r="C90" s="18" t="s">
        <v>37</v>
      </c>
      <c r="D90" s="28" t="s">
        <v>73</v>
      </c>
      <c r="E90" s="195"/>
      <c r="F90" s="195">
        <v>0</v>
      </c>
      <c r="G90" s="195">
        <v>0</v>
      </c>
      <c r="H90" s="195"/>
      <c r="I90" s="195">
        <v>0</v>
      </c>
      <c r="J90" t="s">
        <v>103</v>
      </c>
    </row>
    <row r="91" spans="1:10" ht="17.25" hidden="1" customHeight="1" outlineLevel="1">
      <c r="A91" s="34"/>
      <c r="B91" s="220" t="s">
        <v>127</v>
      </c>
      <c r="C91" s="18" t="s">
        <v>37</v>
      </c>
      <c r="D91" s="28">
        <f>'[1]1 квартал'!$B$297/1000</f>
        <v>15.822778173897415</v>
      </c>
      <c r="E91" s="34"/>
      <c r="F91" s="18"/>
      <c r="G91" s="18">
        <f t="shared" si="11"/>
        <v>-15.822778173897415</v>
      </c>
      <c r="H91" s="34"/>
      <c r="I91" s="18"/>
    </row>
    <row r="92" spans="1:10" ht="15.75" collapsed="1">
      <c r="A92" s="34"/>
      <c r="B92" s="220" t="s">
        <v>128</v>
      </c>
      <c r="C92" s="18" t="s">
        <v>37</v>
      </c>
      <c r="D92" s="28">
        <f>D89</f>
        <v>6564.0999999998021</v>
      </c>
      <c r="E92" s="34">
        <f>E89</f>
        <v>6967.2423589999744</v>
      </c>
      <c r="F92" s="18">
        <f t="shared" si="9"/>
        <v>106.1</v>
      </c>
      <c r="G92" s="18">
        <f t="shared" si="11"/>
        <v>403.14235900017229</v>
      </c>
      <c r="H92" s="34">
        <f>H89</f>
        <v>40952.580999999889</v>
      </c>
      <c r="I92" s="18">
        <f t="shared" si="12"/>
        <v>17</v>
      </c>
      <c r="J92" t="s">
        <v>103</v>
      </c>
    </row>
    <row r="93" spans="1:10" ht="17.25" customHeight="1">
      <c r="A93" s="34"/>
      <c r="B93" s="220" t="s">
        <v>129</v>
      </c>
      <c r="C93" s="18" t="s">
        <v>37</v>
      </c>
      <c r="D93" s="28">
        <f>D92*15%</f>
        <v>984.61499999997022</v>
      </c>
      <c r="E93" s="195">
        <v>6403.331494</v>
      </c>
      <c r="F93" s="195">
        <v>0</v>
      </c>
      <c r="G93" s="195">
        <v>0</v>
      </c>
      <c r="H93" s="195">
        <v>4069.846</v>
      </c>
      <c r="I93" s="195">
        <v>0</v>
      </c>
      <c r="J93" t="s">
        <v>103</v>
      </c>
    </row>
    <row r="94" spans="1:10" ht="15.75">
      <c r="A94" s="34"/>
      <c r="B94" s="220" t="s">
        <v>279</v>
      </c>
      <c r="C94" s="18" t="s">
        <v>37</v>
      </c>
      <c r="D94" s="33">
        <v>0</v>
      </c>
      <c r="E94" s="34">
        <v>0</v>
      </c>
      <c r="F94" s="18"/>
      <c r="G94" s="18">
        <f t="shared" si="11"/>
        <v>0</v>
      </c>
      <c r="H94" s="34">
        <v>0</v>
      </c>
      <c r="I94" s="18"/>
      <c r="J94" t="s">
        <v>103</v>
      </c>
    </row>
    <row r="95" spans="1:10" ht="15.75" hidden="1" outlineLevel="1">
      <c r="A95" s="34"/>
      <c r="B95" s="220" t="s">
        <v>131</v>
      </c>
      <c r="C95" s="18" t="s">
        <v>37</v>
      </c>
      <c r="D95" s="33"/>
      <c r="E95" s="34"/>
      <c r="F95" s="18" t="e">
        <f t="shared" si="9"/>
        <v>#DIV/0!</v>
      </c>
      <c r="G95" s="18">
        <f t="shared" si="11"/>
        <v>0</v>
      </c>
      <c r="H95" s="34"/>
      <c r="I95" s="18" t="e">
        <f t="shared" si="12"/>
        <v>#DIV/0!</v>
      </c>
    </row>
    <row r="96" spans="1:10" ht="15.75" collapsed="1">
      <c r="A96" s="34"/>
      <c r="B96" s="220" t="s">
        <v>132</v>
      </c>
      <c r="C96" s="18" t="s">
        <v>37</v>
      </c>
      <c r="D96" s="33">
        <f>D92-D93</f>
        <v>5579.4849999998314</v>
      </c>
      <c r="E96" s="34">
        <f>E92-E93-E94</f>
        <v>563.91086499997436</v>
      </c>
      <c r="F96" s="18">
        <f t="shared" si="9"/>
        <v>10.1</v>
      </c>
      <c r="G96" s="18">
        <f t="shared" si="11"/>
        <v>-5015.5741349998571</v>
      </c>
      <c r="H96" s="34">
        <f>H92-H93-H94</f>
        <v>36882.734999999891</v>
      </c>
      <c r="I96" s="18">
        <f t="shared" si="12"/>
        <v>1.5</v>
      </c>
      <c r="J96" t="s">
        <v>103</v>
      </c>
    </row>
    <row r="97" spans="1:12" ht="15.75" hidden="1" outlineLevel="1">
      <c r="A97" s="34"/>
      <c r="B97" s="229" t="s">
        <v>133</v>
      </c>
      <c r="C97" s="230"/>
      <c r="D97" s="66"/>
      <c r="E97" s="66"/>
      <c r="F97" s="66"/>
      <c r="G97" s="66"/>
      <c r="H97" s="66"/>
      <c r="I97" s="66"/>
    </row>
    <row r="98" spans="1:12" ht="15.75" hidden="1" outlineLevel="1">
      <c r="A98" s="34"/>
      <c r="B98" s="220" t="s">
        <v>134</v>
      </c>
      <c r="C98" s="18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18"/>
      <c r="I98" s="34"/>
    </row>
    <row r="99" spans="1:12" ht="16.5" hidden="1" customHeight="1" outlineLevel="1">
      <c r="A99" s="34"/>
      <c r="B99" s="220" t="s">
        <v>135</v>
      </c>
      <c r="C99" s="18" t="s">
        <v>37</v>
      </c>
      <c r="D99" s="34"/>
      <c r="E99" s="18"/>
      <c r="F99" s="34"/>
      <c r="G99" s="34"/>
      <c r="H99" s="18"/>
      <c r="I99" s="34"/>
    </row>
    <row r="100" spans="1:12" ht="16.5" hidden="1" customHeight="1" outlineLevel="1">
      <c r="A100" s="70"/>
      <c r="B100" s="231" t="s">
        <v>119</v>
      </c>
      <c r="C100" s="35" t="s">
        <v>37</v>
      </c>
      <c r="D100" s="70">
        <v>0</v>
      </c>
      <c r="E100" s="70"/>
      <c r="F100" s="70"/>
      <c r="G100" s="70"/>
      <c r="H100" s="70"/>
      <c r="I100" s="70"/>
    </row>
    <row r="101" spans="1:12" ht="15.75" collapsed="1">
      <c r="A101" s="34" t="s">
        <v>109</v>
      </c>
      <c r="B101" s="227" t="s">
        <v>137</v>
      </c>
      <c r="C101" s="18"/>
      <c r="D101" s="34"/>
      <c r="E101" s="34"/>
      <c r="F101" s="18"/>
      <c r="G101" s="18"/>
      <c r="H101" s="34"/>
      <c r="I101" s="18"/>
    </row>
    <row r="102" spans="1:12" ht="15.75">
      <c r="A102" s="34"/>
      <c r="B102" s="223" t="s">
        <v>138</v>
      </c>
      <c r="C102" s="18" t="s">
        <v>37</v>
      </c>
      <c r="D102" s="6">
        <f>D103+D106</f>
        <v>115051.11499999998</v>
      </c>
      <c r="E102" s="6">
        <f>E103+E106</f>
        <v>77807.709493999995</v>
      </c>
      <c r="F102" s="6">
        <f>ROUND(E102/D102*100,1)</f>
        <v>67.599999999999994</v>
      </c>
      <c r="G102" s="6">
        <f>E102-D102</f>
        <v>-37243.405505999981</v>
      </c>
      <c r="H102" s="6">
        <f>H103+H106</f>
        <v>10639.678</v>
      </c>
      <c r="I102" s="6">
        <f>ROUND(E102/H102*100,1)</f>
        <v>731.3</v>
      </c>
      <c r="J102" s="11" t="s">
        <v>139</v>
      </c>
    </row>
    <row r="103" spans="1:12" ht="15.75">
      <c r="A103" s="34"/>
      <c r="B103" s="228" t="s">
        <v>140</v>
      </c>
      <c r="C103" s="18" t="s">
        <v>37</v>
      </c>
      <c r="D103" s="195">
        <f>D93</f>
        <v>984.61499999997022</v>
      </c>
      <c r="E103" s="195">
        <f>E93</f>
        <v>6403.331494</v>
      </c>
      <c r="F103" s="195">
        <v>0</v>
      </c>
      <c r="G103" s="195">
        <v>0</v>
      </c>
      <c r="H103" s="195">
        <f>H93</f>
        <v>4069.846</v>
      </c>
      <c r="I103" s="195">
        <v>0</v>
      </c>
      <c r="J103" s="11" t="s">
        <v>139</v>
      </c>
    </row>
    <row r="104" spans="1:12" ht="17.25" hidden="1" customHeight="1" outlineLevel="1">
      <c r="A104" s="34"/>
      <c r="B104" s="228" t="s">
        <v>141</v>
      </c>
      <c r="C104" s="18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34"/>
      <c r="B105" s="228" t="s">
        <v>142</v>
      </c>
      <c r="C105" s="18" t="s">
        <v>37</v>
      </c>
      <c r="D105" s="34"/>
      <c r="E105" s="34"/>
      <c r="F105" s="18"/>
      <c r="G105" s="34">
        <f t="shared" ref="G105:G113" si="13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34"/>
      <c r="B106" s="228" t="s">
        <v>143</v>
      </c>
      <c r="C106" s="18" t="s">
        <v>37</v>
      </c>
      <c r="D106" s="18">
        <v>114066.5</v>
      </c>
      <c r="E106" s="18">
        <v>71404.377999999997</v>
      </c>
      <c r="F106" s="18">
        <f>ROUND(E106/D106*100,1)</f>
        <v>62.6</v>
      </c>
      <c r="G106" s="34">
        <f t="shared" si="13"/>
        <v>-42662.122000000003</v>
      </c>
      <c r="H106" s="18">
        <v>6569.8320000000003</v>
      </c>
      <c r="I106" s="18">
        <f>ROUND(E106/H106*100,1)</f>
        <v>1086.9000000000001</v>
      </c>
      <c r="J106" s="11" t="s">
        <v>139</v>
      </c>
    </row>
    <row r="107" spans="1:12" ht="20.25" customHeight="1">
      <c r="A107" s="34"/>
      <c r="B107" s="232" t="s">
        <v>144</v>
      </c>
      <c r="C107" s="18" t="s">
        <v>37</v>
      </c>
      <c r="D107" s="6">
        <f>SUM(D108:D112)</f>
        <v>108490.40000000001</v>
      </c>
      <c r="E107" s="6">
        <f>SUM(E108:E112)</f>
        <v>98872.305984000006</v>
      </c>
      <c r="F107" s="6">
        <f>ROUND(E107/D107*100,1)</f>
        <v>91.1</v>
      </c>
      <c r="G107" s="6">
        <f t="shared" si="13"/>
        <v>-9618.0940160000027</v>
      </c>
      <c r="H107" s="6">
        <f>SUM(H108:H112)</f>
        <v>95385.404999999999</v>
      </c>
      <c r="I107" s="6">
        <f>IF(H107&gt;0,ROUND(E107/H107*100,1),0)</f>
        <v>103.7</v>
      </c>
      <c r="J107" s="11" t="s">
        <v>139</v>
      </c>
    </row>
    <row r="108" spans="1:12" ht="15.75">
      <c r="A108" s="34"/>
      <c r="B108" s="233" t="s">
        <v>145</v>
      </c>
      <c r="C108" s="18" t="s">
        <v>37</v>
      </c>
      <c r="D108" s="34">
        <v>0</v>
      </c>
      <c r="E108" s="34"/>
      <c r="F108" s="6"/>
      <c r="G108" s="18">
        <f t="shared" si="13"/>
        <v>0</v>
      </c>
      <c r="H108" s="34">
        <v>4001.3</v>
      </c>
      <c r="I108" s="6">
        <f>IF(H108&gt;0,ROUND(E108/H108*100,1),0)</f>
        <v>0</v>
      </c>
    </row>
    <row r="109" spans="1:12" s="19" customFormat="1" ht="15.75">
      <c r="A109" s="34"/>
      <c r="B109" s="224" t="s">
        <v>146</v>
      </c>
      <c r="C109" s="18" t="s">
        <v>37</v>
      </c>
      <c r="D109" s="34">
        <v>3049.2</v>
      </c>
      <c r="E109" s="34">
        <f>'2025 год по смете со спец.надб.'!E109</f>
        <v>4376</v>
      </c>
      <c r="F109" s="18">
        <f>ROUND(E109/D109*100,1)</f>
        <v>143.5</v>
      </c>
      <c r="G109" s="18">
        <f t="shared" si="13"/>
        <v>1326.8000000000002</v>
      </c>
      <c r="H109" s="34">
        <v>3786.3980000000001</v>
      </c>
      <c r="I109" s="34">
        <f>ROUND(E109/H109*100,1)</f>
        <v>115.6</v>
      </c>
      <c r="J109" s="11" t="s">
        <v>139</v>
      </c>
      <c r="K109"/>
      <c r="L109"/>
    </row>
    <row r="110" spans="1:12" ht="15.75">
      <c r="A110" s="34"/>
      <c r="B110" s="224" t="s">
        <v>147</v>
      </c>
      <c r="C110" s="18" t="s">
        <v>37</v>
      </c>
      <c r="D110" s="34">
        <v>1474.6</v>
      </c>
      <c r="E110" s="34">
        <v>1641.8309839999999</v>
      </c>
      <c r="F110" s="18">
        <f>ROUND(E110/D110*100,1)</f>
        <v>111.3</v>
      </c>
      <c r="G110" s="18">
        <f t="shared" si="13"/>
        <v>167.23098400000003</v>
      </c>
      <c r="H110" s="34">
        <v>1386.4079999999999</v>
      </c>
      <c r="I110" s="34">
        <f>ROUND(E110/H110*100,1)</f>
        <v>118.4</v>
      </c>
      <c r="J110" s="11" t="s">
        <v>139</v>
      </c>
    </row>
    <row r="111" spans="1:12" ht="15.75">
      <c r="A111" s="34"/>
      <c r="B111" s="224" t="s">
        <v>148</v>
      </c>
      <c r="C111" s="18" t="s">
        <v>37</v>
      </c>
      <c r="D111" s="34">
        <v>24084</v>
      </c>
      <c r="E111" s="34">
        <v>26254.596000000001</v>
      </c>
      <c r="F111" s="18">
        <f>ROUND(E111/D111*100,1)</f>
        <v>109</v>
      </c>
      <c r="G111" s="18">
        <f t="shared" si="13"/>
        <v>2170.5960000000014</v>
      </c>
      <c r="H111" s="34">
        <v>22213.358</v>
      </c>
      <c r="I111" s="34">
        <f>ROUND(E111/H111*100,1)</f>
        <v>118.2</v>
      </c>
      <c r="J111" s="11" t="s">
        <v>139</v>
      </c>
    </row>
    <row r="112" spans="1:12" ht="15.75">
      <c r="A112" s="34"/>
      <c r="B112" s="224" t="s">
        <v>149</v>
      </c>
      <c r="C112" s="18" t="s">
        <v>37</v>
      </c>
      <c r="D112" s="18">
        <v>79882.600000000006</v>
      </c>
      <c r="E112" s="34">
        <v>66599.879000000001</v>
      </c>
      <c r="F112" s="18">
        <f>ROUND(E112/D112*100,1)</f>
        <v>83.4</v>
      </c>
      <c r="G112" s="18">
        <f t="shared" si="13"/>
        <v>-13282.721000000005</v>
      </c>
      <c r="H112" s="34">
        <v>63997.940999999999</v>
      </c>
      <c r="I112" s="34">
        <f>ROUND(E112/H112*100,1)</f>
        <v>104.1</v>
      </c>
      <c r="J112" s="11" t="s">
        <v>139</v>
      </c>
    </row>
    <row r="113" spans="1:13" ht="21" customHeight="1">
      <c r="A113" s="34"/>
      <c r="B113" s="234" t="s">
        <v>150</v>
      </c>
      <c r="C113" s="18" t="s">
        <v>37</v>
      </c>
      <c r="D113" s="6">
        <f>SUM(D115:D120)</f>
        <v>111000</v>
      </c>
      <c r="E113" s="6">
        <f>SUM(E115:E120)</f>
        <v>83491.012000000002</v>
      </c>
      <c r="F113" s="6">
        <f>ROUND(E113/D113*100,1)</f>
        <v>75.2</v>
      </c>
      <c r="G113" s="6">
        <f t="shared" si="13"/>
        <v>-27508.987999999998</v>
      </c>
      <c r="H113" s="6">
        <f>SUM(H115:H120)</f>
        <v>60618.917000000001</v>
      </c>
      <c r="I113" s="6">
        <f>ROUND(E113/H113*100,1)</f>
        <v>137.69999999999999</v>
      </c>
      <c r="J113" s="11" t="s">
        <v>139</v>
      </c>
    </row>
    <row r="114" spans="1:13" ht="15.75">
      <c r="A114" s="34"/>
      <c r="B114" s="34" t="s">
        <v>12</v>
      </c>
      <c r="C114" s="18"/>
      <c r="D114" s="34">
        <v>0</v>
      </c>
      <c r="E114" s="34"/>
      <c r="F114" s="34"/>
      <c r="G114" s="34"/>
      <c r="H114" s="34"/>
      <c r="I114" s="34"/>
    </row>
    <row r="115" spans="1:13" ht="26.25" hidden="1" customHeight="1" outlineLevel="1">
      <c r="A115" s="34"/>
      <c r="B115" s="18" t="s">
        <v>151</v>
      </c>
      <c r="C115" s="18" t="s">
        <v>37</v>
      </c>
      <c r="D115" s="18"/>
      <c r="E115" s="18"/>
      <c r="F115" s="18"/>
      <c r="G115" s="18">
        <f t="shared" ref="G115:G120" si="14">E115-D115</f>
        <v>0</v>
      </c>
      <c r="H115" s="18"/>
      <c r="I115" s="18" t="e">
        <f t="shared" ref="I115:I121" si="15">ROUND(E115/H115*100,1)</f>
        <v>#DIV/0!</v>
      </c>
      <c r="J115" s="11" t="s">
        <v>139</v>
      </c>
    </row>
    <row r="116" spans="1:13" ht="30" hidden="1" customHeight="1" outlineLevel="1">
      <c r="A116" s="34"/>
      <c r="B116" s="224" t="s">
        <v>152</v>
      </c>
      <c r="C116" s="18" t="s">
        <v>37</v>
      </c>
      <c r="D116" s="18"/>
      <c r="E116" s="18"/>
      <c r="F116" s="18"/>
      <c r="G116" s="18">
        <f t="shared" si="14"/>
        <v>0</v>
      </c>
      <c r="H116" s="18"/>
      <c r="I116" s="18" t="e">
        <f t="shared" si="15"/>
        <v>#DIV/0!</v>
      </c>
      <c r="J116" s="11" t="s">
        <v>139</v>
      </c>
    </row>
    <row r="117" spans="1:13" ht="15.75" collapsed="1">
      <c r="A117" s="34"/>
      <c r="B117" s="224" t="s">
        <v>204</v>
      </c>
      <c r="C117" s="18" t="s">
        <v>37</v>
      </c>
      <c r="D117" s="18">
        <v>96000</v>
      </c>
      <c r="E117" s="18">
        <v>72460.012000000002</v>
      </c>
      <c r="F117" s="18">
        <f>ROUND(E117/D117*100,1)</f>
        <v>75.5</v>
      </c>
      <c r="G117" s="18">
        <f t="shared" si="14"/>
        <v>-23539.987999999998</v>
      </c>
      <c r="H117" s="18">
        <v>50774</v>
      </c>
      <c r="I117" s="18">
        <f t="shared" si="15"/>
        <v>142.69999999999999</v>
      </c>
      <c r="J117" s="11" t="s">
        <v>139</v>
      </c>
    </row>
    <row r="118" spans="1:13" ht="34.5" customHeight="1">
      <c r="A118" s="70"/>
      <c r="B118" s="224" t="s">
        <v>153</v>
      </c>
      <c r="C118" s="18" t="s">
        <v>37</v>
      </c>
      <c r="D118" s="18">
        <v>15000</v>
      </c>
      <c r="E118" s="35">
        <v>11031</v>
      </c>
      <c r="F118" s="18">
        <f>ROUND(E118/D118*100,1)</f>
        <v>73.5</v>
      </c>
      <c r="G118" s="35">
        <f t="shared" si="14"/>
        <v>-3969</v>
      </c>
      <c r="H118" s="35">
        <f>8272.535+1572.382</f>
        <v>9844.9169999999995</v>
      </c>
      <c r="I118" s="18">
        <f t="shared" si="15"/>
        <v>112</v>
      </c>
      <c r="J118" s="11" t="s">
        <v>139</v>
      </c>
      <c r="L118" s="11">
        <f>218347.615-E121</f>
        <v>-41823.412478000013</v>
      </c>
    </row>
    <row r="119" spans="1:13" ht="47.25" hidden="1" customHeight="1" outlineLevel="1">
      <c r="A119" s="34"/>
      <c r="B119" s="224" t="s">
        <v>154</v>
      </c>
      <c r="C119" s="18" t="s">
        <v>37</v>
      </c>
      <c r="D119" s="18"/>
      <c r="E119" s="18"/>
      <c r="F119" s="18" t="e">
        <f>ROUND(E119/D119*100,1)</f>
        <v>#DIV/0!</v>
      </c>
      <c r="G119" s="35">
        <f t="shared" si="14"/>
        <v>0</v>
      </c>
      <c r="H119" s="18"/>
      <c r="I119" s="18" t="e">
        <f t="shared" si="15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34"/>
      <c r="B120" s="224" t="s">
        <v>155</v>
      </c>
      <c r="C120" s="18" t="s">
        <v>37</v>
      </c>
      <c r="D120" s="18"/>
      <c r="E120" s="18"/>
      <c r="F120" s="18" t="e">
        <f>ROUND(E120/D120*100,1)</f>
        <v>#DIV/0!</v>
      </c>
      <c r="G120" s="18">
        <f t="shared" si="14"/>
        <v>0</v>
      </c>
      <c r="H120" s="18"/>
      <c r="I120" s="18" t="e">
        <f t="shared" si="15"/>
        <v>#DIV/0!</v>
      </c>
      <c r="J120" s="11" t="s">
        <v>139</v>
      </c>
    </row>
    <row r="121" spans="1:13" ht="15.75" collapsed="1">
      <c r="A121" s="34"/>
      <c r="B121" s="227" t="s">
        <v>156</v>
      </c>
      <c r="C121" s="18" t="s">
        <v>37</v>
      </c>
      <c r="D121" s="6">
        <f>D102+D113+D107</f>
        <v>334541.51500000001</v>
      </c>
      <c r="E121" s="6">
        <f>E102+E113+E107</f>
        <v>260171.027478</v>
      </c>
      <c r="F121" s="6">
        <f>ROUND(E121/D121*100,1)</f>
        <v>77.8</v>
      </c>
      <c r="G121" s="6">
        <f>E121-D121</f>
        <v>-74370.48752200001</v>
      </c>
      <c r="H121" s="6">
        <f>H102+H113+H107</f>
        <v>166644</v>
      </c>
      <c r="I121" s="6">
        <f t="shared" si="15"/>
        <v>156.1</v>
      </c>
      <c r="J121" s="11" t="s">
        <v>139</v>
      </c>
    </row>
    <row r="122" spans="1:13" ht="15.75">
      <c r="A122" s="34" t="s">
        <v>111</v>
      </c>
      <c r="B122" s="227" t="s">
        <v>158</v>
      </c>
      <c r="C122" s="18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</row>
    <row r="123" spans="1:13" ht="27" customHeight="1">
      <c r="A123" s="34"/>
      <c r="B123" s="235" t="s">
        <v>159</v>
      </c>
      <c r="C123" s="18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36"/>
      <c r="K123" s="1"/>
    </row>
    <row r="124" spans="1:13" ht="18" customHeight="1" outlineLevel="1">
      <c r="A124" s="34"/>
      <c r="B124" s="220" t="s">
        <v>160</v>
      </c>
      <c r="C124" s="18" t="s">
        <v>37</v>
      </c>
      <c r="D124" s="18"/>
      <c r="E124" s="18"/>
      <c r="F124" s="18"/>
      <c r="G124" s="18"/>
      <c r="H124" s="18"/>
      <c r="I124" s="18"/>
    </row>
    <row r="125" spans="1:13" ht="24" customHeight="1">
      <c r="A125" s="34" t="s">
        <v>278</v>
      </c>
      <c r="B125" s="227" t="s">
        <v>162</v>
      </c>
      <c r="C125" s="18" t="s">
        <v>37</v>
      </c>
      <c r="D125" s="6">
        <f>SUM(D127:D130)</f>
        <v>1782497</v>
      </c>
      <c r="E125" s="6">
        <f>SUM(E127:E130)</f>
        <v>1514505.4049940002</v>
      </c>
      <c r="F125" s="6">
        <f t="shared" ref="F125:F130" si="16">ROUND(E125/D125*100,1)</f>
        <v>85</v>
      </c>
      <c r="G125" s="6">
        <f t="shared" ref="G125:G147" si="17">E125-D125</f>
        <v>-267991.59500599978</v>
      </c>
      <c r="H125" s="6">
        <f>SUM(H127:H130)</f>
        <v>1268119.6937840001</v>
      </c>
      <c r="I125" s="6">
        <f>ROUND(E125/H125*100,1)</f>
        <v>119.4</v>
      </c>
      <c r="J125" s="11" t="s">
        <v>139</v>
      </c>
      <c r="M125" s="11"/>
    </row>
    <row r="126" spans="1:13" ht="15.75">
      <c r="A126" s="34"/>
      <c r="B126" s="34" t="s">
        <v>163</v>
      </c>
      <c r="C126" s="18"/>
      <c r="D126" s="18"/>
      <c r="E126" s="18"/>
      <c r="F126" s="18"/>
      <c r="G126" s="18">
        <f t="shared" si="17"/>
        <v>0</v>
      </c>
      <c r="H126" s="18"/>
      <c r="I126" s="18"/>
      <c r="M126" s="11"/>
    </row>
    <row r="127" spans="1:13" ht="19.5" customHeight="1">
      <c r="A127" s="34"/>
      <c r="B127" s="228" t="s">
        <v>164</v>
      </c>
      <c r="C127" s="18" t="s">
        <v>37</v>
      </c>
      <c r="D127" s="18">
        <v>1131880.3999999999</v>
      </c>
      <c r="E127" s="18">
        <v>861198.22409999999</v>
      </c>
      <c r="F127" s="18">
        <f t="shared" si="16"/>
        <v>76.099999999999994</v>
      </c>
      <c r="G127" s="18">
        <f t="shared" si="17"/>
        <v>-270682.17589999991</v>
      </c>
      <c r="H127" s="18">
        <v>715003.07967200002</v>
      </c>
      <c r="I127" s="18">
        <f>ROUND(E127/H127*100,1)</f>
        <v>120.4</v>
      </c>
      <c r="J127" s="11" t="s">
        <v>139</v>
      </c>
    </row>
    <row r="128" spans="1:13" ht="18" customHeight="1">
      <c r="A128" s="34"/>
      <c r="B128" s="228" t="s">
        <v>165</v>
      </c>
      <c r="C128" s="18" t="s">
        <v>37</v>
      </c>
      <c r="D128" s="18">
        <v>440354.6</v>
      </c>
      <c r="E128" s="18">
        <v>391711.022</v>
      </c>
      <c r="F128" s="18">
        <f t="shared" si="16"/>
        <v>89</v>
      </c>
      <c r="G128" s="18">
        <f t="shared" si="17"/>
        <v>-48643.57799999998</v>
      </c>
      <c r="H128" s="18">
        <f>299417.303+35931.49</f>
        <v>335348.79300000001</v>
      </c>
      <c r="I128" s="18">
        <f>ROUND(E128/H128*100,1)</f>
        <v>116.8</v>
      </c>
      <c r="J128" s="11" t="s">
        <v>139</v>
      </c>
    </row>
    <row r="129" spans="1:13" ht="31.5">
      <c r="A129" s="34"/>
      <c r="B129" s="228" t="s">
        <v>166</v>
      </c>
      <c r="C129" s="18" t="s">
        <v>37</v>
      </c>
      <c r="D129" s="18">
        <v>172537.4</v>
      </c>
      <c r="E129" s="18">
        <v>211266.44282200001</v>
      </c>
      <c r="F129" s="18">
        <f t="shared" si="16"/>
        <v>122.4</v>
      </c>
      <c r="G129" s="18">
        <f t="shared" si="17"/>
        <v>38729.042822000018</v>
      </c>
      <c r="H129" s="18">
        <v>177252.90400000001</v>
      </c>
      <c r="I129" s="18">
        <f>ROUND(E129/H129*100,1)</f>
        <v>119.2</v>
      </c>
      <c r="J129" s="11" t="s">
        <v>139</v>
      </c>
    </row>
    <row r="130" spans="1:13" ht="15.75">
      <c r="A130" s="34"/>
      <c r="B130" s="228" t="s">
        <v>167</v>
      </c>
      <c r="C130" s="18" t="s">
        <v>37</v>
      </c>
      <c r="D130" s="18">
        <v>37724.6</v>
      </c>
      <c r="E130" s="18">
        <v>50329.716072000003</v>
      </c>
      <c r="F130" s="18">
        <f t="shared" si="16"/>
        <v>133.4</v>
      </c>
      <c r="G130" s="18">
        <f t="shared" si="17"/>
        <v>12605.116072000004</v>
      </c>
      <c r="H130" s="18">
        <v>40514.917112000003</v>
      </c>
      <c r="I130" s="18">
        <f>ROUND(E130/H130*100,1)</f>
        <v>124.2</v>
      </c>
      <c r="J130" s="11" t="s">
        <v>139</v>
      </c>
    </row>
    <row r="131" spans="1:13" ht="23.25" customHeight="1">
      <c r="A131" s="18" t="s">
        <v>136</v>
      </c>
      <c r="B131" s="236" t="s">
        <v>169</v>
      </c>
      <c r="C131" s="18" t="s">
        <v>37</v>
      </c>
      <c r="D131" s="18"/>
      <c r="E131" s="6"/>
      <c r="F131" s="6"/>
      <c r="G131" s="6">
        <f>E131-D131</f>
        <v>0</v>
      </c>
      <c r="H131" s="6"/>
      <c r="I131" s="6">
        <f>IF(H131&gt;0,ROUND(E131/H131*100,1),0)</f>
        <v>0</v>
      </c>
      <c r="K131" t="s">
        <v>170</v>
      </c>
    </row>
    <row r="132" spans="1:13" ht="15.75">
      <c r="A132" s="34"/>
      <c r="B132" s="34" t="s">
        <v>12</v>
      </c>
      <c r="C132" s="18" t="s">
        <v>37</v>
      </c>
      <c r="D132" s="18"/>
      <c r="E132" s="18"/>
      <c r="F132" s="18"/>
      <c r="G132" s="18">
        <f t="shared" si="17"/>
        <v>0</v>
      </c>
      <c r="H132" s="18"/>
      <c r="I132" s="18"/>
    </row>
    <row r="133" spans="1:13" ht="24.75" customHeight="1">
      <c r="A133" s="34"/>
      <c r="B133" s="223" t="s">
        <v>171</v>
      </c>
      <c r="C133" s="18" t="s">
        <v>37</v>
      </c>
      <c r="D133" s="34"/>
      <c r="E133" s="18">
        <v>2030489.1310000001</v>
      </c>
      <c r="F133" s="18"/>
      <c r="G133" s="18">
        <f t="shared" si="17"/>
        <v>2030489.1310000001</v>
      </c>
      <c r="H133" s="18">
        <v>1660572.1</v>
      </c>
      <c r="I133" s="18">
        <f>IF(H133&gt;0,ROUND(E133/H133*100,1),0)</f>
        <v>122.3</v>
      </c>
      <c r="K133" t="s">
        <v>170</v>
      </c>
      <c r="L133" t="s">
        <v>170</v>
      </c>
      <c r="M133" t="s">
        <v>172</v>
      </c>
    </row>
    <row r="134" spans="1:13" ht="15.75">
      <c r="A134" s="34"/>
      <c r="B134" s="34" t="s">
        <v>163</v>
      </c>
      <c r="C134" s="18" t="s">
        <v>37</v>
      </c>
      <c r="D134" s="18"/>
      <c r="E134" s="18"/>
      <c r="F134" s="18"/>
      <c r="G134" s="18">
        <f t="shared" si="17"/>
        <v>0</v>
      </c>
      <c r="H134" s="18"/>
      <c r="I134" s="18"/>
    </row>
    <row r="135" spans="1:13" ht="15.75">
      <c r="A135" s="34"/>
      <c r="B135" s="228" t="s">
        <v>173</v>
      </c>
      <c r="C135" s="18" t="s">
        <v>37</v>
      </c>
      <c r="D135" s="18"/>
      <c r="E135" s="18">
        <v>1259454.29</v>
      </c>
      <c r="F135" s="18"/>
      <c r="G135" s="18">
        <f t="shared" si="17"/>
        <v>1259454.29</v>
      </c>
      <c r="H135" s="18">
        <v>1354422.9580000001</v>
      </c>
      <c r="I135" s="18">
        <f t="shared" ref="I135:I144" si="18">IF(H135&gt;0,ROUND(E135/H135*100,1),0)</f>
        <v>93</v>
      </c>
      <c r="K135" t="s">
        <v>170</v>
      </c>
      <c r="L135" t="s">
        <v>170</v>
      </c>
      <c r="M135" t="s">
        <v>174</v>
      </c>
    </row>
    <row r="136" spans="1:13" ht="15.75">
      <c r="A136" s="34"/>
      <c r="B136" s="228" t="s">
        <v>175</v>
      </c>
      <c r="C136" s="18" t="s">
        <v>37</v>
      </c>
      <c r="D136" s="18"/>
      <c r="E136" s="18">
        <v>30.702000000000002</v>
      </c>
      <c r="F136" s="18"/>
      <c r="G136" s="18">
        <f t="shared" si="17"/>
        <v>30.702000000000002</v>
      </c>
      <c r="H136" s="18">
        <v>42.515999999999998</v>
      </c>
      <c r="I136" s="18">
        <f t="shared" si="18"/>
        <v>72.2</v>
      </c>
      <c r="K136" t="s">
        <v>170</v>
      </c>
      <c r="L136" t="s">
        <v>170</v>
      </c>
      <c r="M136" t="s">
        <v>176</v>
      </c>
    </row>
    <row r="137" spans="1:13" ht="15.75">
      <c r="A137" s="34"/>
      <c r="B137" s="220" t="s">
        <v>177</v>
      </c>
      <c r="C137" s="18" t="s">
        <v>37</v>
      </c>
      <c r="D137" s="18"/>
      <c r="E137" s="18">
        <v>1236031.7</v>
      </c>
      <c r="F137" s="18"/>
      <c r="G137" s="18">
        <f t="shared" si="17"/>
        <v>1236031.7</v>
      </c>
      <c r="H137" s="18">
        <v>984710.01500000001</v>
      </c>
      <c r="I137" s="18">
        <f t="shared" si="18"/>
        <v>125.5</v>
      </c>
      <c r="K137" t="s">
        <v>170</v>
      </c>
      <c r="L137" t="s">
        <v>170</v>
      </c>
      <c r="M137" t="s">
        <v>178</v>
      </c>
    </row>
    <row r="138" spans="1:13" ht="15.75">
      <c r="A138" s="34"/>
      <c r="B138" s="34" t="s">
        <v>52</v>
      </c>
      <c r="C138" s="18" t="s">
        <v>37</v>
      </c>
      <c r="D138" s="18"/>
      <c r="E138" s="18"/>
      <c r="F138" s="18"/>
      <c r="G138" s="18">
        <f t="shared" si="17"/>
        <v>0</v>
      </c>
      <c r="H138" s="18"/>
      <c r="I138" s="18">
        <f t="shared" si="18"/>
        <v>0</v>
      </c>
      <c r="K138" t="s">
        <v>170</v>
      </c>
      <c r="L138" t="s">
        <v>170</v>
      </c>
    </row>
    <row r="139" spans="1:13" ht="20.25" customHeight="1">
      <c r="A139" s="66"/>
      <c r="B139" s="237" t="s">
        <v>179</v>
      </c>
      <c r="C139" s="18" t="s">
        <v>37</v>
      </c>
      <c r="D139" s="81"/>
      <c r="E139" s="81">
        <v>698239.73400000005</v>
      </c>
      <c r="F139" s="18"/>
      <c r="G139" s="81">
        <f t="shared" si="17"/>
        <v>698239.73400000005</v>
      </c>
      <c r="H139" s="81">
        <v>468312.81900000002</v>
      </c>
      <c r="I139" s="18">
        <f t="shared" si="18"/>
        <v>149.1</v>
      </c>
      <c r="K139" t="s">
        <v>170</v>
      </c>
      <c r="L139" t="s">
        <v>170</v>
      </c>
      <c r="M139" t="s">
        <v>180</v>
      </c>
    </row>
    <row r="140" spans="1:13" ht="15.75">
      <c r="A140" s="34"/>
      <c r="B140" s="34" t="s">
        <v>163</v>
      </c>
      <c r="C140" s="18" t="s">
        <v>37</v>
      </c>
      <c r="D140" s="18"/>
      <c r="E140" s="18"/>
      <c r="F140" s="18"/>
      <c r="G140" s="18">
        <f t="shared" si="17"/>
        <v>0</v>
      </c>
      <c r="H140" s="18"/>
      <c r="I140" s="18">
        <f t="shared" si="18"/>
        <v>0</v>
      </c>
      <c r="K140" t="s">
        <v>170</v>
      </c>
      <c r="L140" t="s">
        <v>170</v>
      </c>
    </row>
    <row r="141" spans="1:13" ht="20.25" customHeight="1">
      <c r="A141" s="34"/>
      <c r="B141" s="228" t="s">
        <v>181</v>
      </c>
      <c r="C141" s="18" t="s">
        <v>37</v>
      </c>
      <c r="D141" s="18"/>
      <c r="E141" s="18">
        <v>193094.11499999999</v>
      </c>
      <c r="F141" s="18"/>
      <c r="G141" s="18">
        <f t="shared" si="17"/>
        <v>193094.11499999999</v>
      </c>
      <c r="H141" s="18">
        <v>165970.54199999999</v>
      </c>
      <c r="I141" s="18">
        <f t="shared" si="18"/>
        <v>116.3</v>
      </c>
      <c r="K141" t="s">
        <v>170</v>
      </c>
      <c r="L141" t="s">
        <v>170</v>
      </c>
      <c r="M141" t="s">
        <v>182</v>
      </c>
    </row>
    <row r="142" spans="1:13" ht="20.25" customHeight="1">
      <c r="A142" s="34" t="s">
        <v>280</v>
      </c>
      <c r="B142" s="228" t="s">
        <v>281</v>
      </c>
      <c r="C142" s="18" t="s">
        <v>37</v>
      </c>
      <c r="D142" s="18"/>
      <c r="E142" s="18"/>
      <c r="F142" s="18"/>
      <c r="G142" s="18"/>
      <c r="H142" s="18"/>
      <c r="I142" s="18"/>
    </row>
    <row r="143" spans="1:13" ht="15.75">
      <c r="A143" s="34"/>
      <c r="B143" s="228" t="s">
        <v>183</v>
      </c>
      <c r="C143" s="18" t="s">
        <v>37</v>
      </c>
      <c r="D143" s="18"/>
      <c r="E143" s="18">
        <v>501164.67499999999</v>
      </c>
      <c r="F143" s="18"/>
      <c r="G143" s="18">
        <f t="shared" si="17"/>
        <v>501164.67499999999</v>
      </c>
      <c r="H143" s="18">
        <v>293197.67</v>
      </c>
      <c r="I143" s="18">
        <f t="shared" si="18"/>
        <v>170.9</v>
      </c>
      <c r="K143" t="s">
        <v>170</v>
      </c>
      <c r="L143" t="s">
        <v>170</v>
      </c>
      <c r="M143" t="s">
        <v>184</v>
      </c>
    </row>
    <row r="144" spans="1:13" ht="15.75">
      <c r="A144" s="34"/>
      <c r="B144" s="237" t="s">
        <v>185</v>
      </c>
      <c r="C144" s="18" t="s">
        <v>37</v>
      </c>
      <c r="D144" s="18"/>
      <c r="E144" s="18">
        <v>63479.014999999999</v>
      </c>
      <c r="F144" s="18"/>
      <c r="G144" s="18">
        <f>E144-D144</f>
        <v>63479.014999999999</v>
      </c>
      <c r="H144" s="18">
        <v>150743.34599999999</v>
      </c>
      <c r="I144" s="18">
        <f t="shared" si="18"/>
        <v>42.1</v>
      </c>
      <c r="K144" t="s">
        <v>170</v>
      </c>
      <c r="L144" t="s">
        <v>170</v>
      </c>
      <c r="M144" t="s">
        <v>186</v>
      </c>
    </row>
    <row r="145" spans="1:12" ht="18" customHeight="1">
      <c r="A145" s="34"/>
      <c r="B145" s="34" t="s">
        <v>163</v>
      </c>
      <c r="C145" s="18" t="s">
        <v>37</v>
      </c>
      <c r="D145" s="18"/>
      <c r="E145" s="18"/>
      <c r="F145" s="18"/>
      <c r="G145" s="18">
        <f t="shared" si="17"/>
        <v>0</v>
      </c>
      <c r="H145" s="18"/>
      <c r="I145" s="18"/>
      <c r="K145" t="s">
        <v>170</v>
      </c>
      <c r="L145" t="s">
        <v>170</v>
      </c>
    </row>
    <row r="146" spans="1:12" ht="15.75">
      <c r="A146" s="34"/>
      <c r="B146" s="224" t="s">
        <v>187</v>
      </c>
      <c r="C146" s="18" t="s">
        <v>37</v>
      </c>
      <c r="D146" s="18"/>
      <c r="E146" s="18"/>
      <c r="F146" s="18"/>
      <c r="G146" s="18">
        <f t="shared" si="17"/>
        <v>0</v>
      </c>
      <c r="H146" s="18"/>
      <c r="I146" s="18">
        <f>IF(H146&gt;0,ROUND(E146/H146*100,1),0)</f>
        <v>0</v>
      </c>
      <c r="K146" t="s">
        <v>170</v>
      </c>
    </row>
    <row r="147" spans="1:12" ht="18.75" hidden="1" customHeight="1" outlineLevel="1">
      <c r="A147" s="34" t="s">
        <v>188</v>
      </c>
      <c r="B147" s="220" t="s">
        <v>189</v>
      </c>
      <c r="C147" s="18" t="s">
        <v>37</v>
      </c>
      <c r="D147" s="35"/>
      <c r="E147" s="18"/>
      <c r="F147" s="18"/>
      <c r="G147" s="18">
        <f t="shared" si="17"/>
        <v>0</v>
      </c>
      <c r="H147" s="18"/>
      <c r="I147" s="18">
        <f>IF(H147&gt;0,ROUND(D147/H147*100,1),0)</f>
        <v>0</v>
      </c>
      <c r="K147" t="s">
        <v>170</v>
      </c>
    </row>
    <row r="148" spans="1:12" ht="15.75" collapsed="1">
      <c r="A148" s="34" t="s">
        <v>157</v>
      </c>
      <c r="B148" s="220" t="s">
        <v>190</v>
      </c>
      <c r="C148" s="258" t="s">
        <v>37</v>
      </c>
      <c r="D148" s="266"/>
      <c r="E148" s="259">
        <v>347619.20199999999</v>
      </c>
      <c r="F148" s="18" t="e">
        <f>E148/D148*100</f>
        <v>#DIV/0!</v>
      </c>
      <c r="G148" s="18">
        <f>E148-D148</f>
        <v>347619.20199999999</v>
      </c>
      <c r="H148" s="259">
        <v>242439.24400000001</v>
      </c>
      <c r="I148" s="18">
        <f>ROUND(E148/H148*100,1)</f>
        <v>143.4</v>
      </c>
      <c r="K148" t="s">
        <v>170</v>
      </c>
      <c r="L148" t="s">
        <v>191</v>
      </c>
    </row>
    <row r="149" spans="1:12" ht="15.75" hidden="1" customHeight="1" outlineLevel="1">
      <c r="A149" s="34"/>
      <c r="B149" s="34" t="s">
        <v>12</v>
      </c>
      <c r="C149" s="258" t="s">
        <v>37</v>
      </c>
      <c r="D149" s="267"/>
      <c r="E149" s="259"/>
      <c r="F149" s="18" t="e">
        <f t="shared" ref="F149:F152" si="19">E149/D149*100</f>
        <v>#DIV/0!</v>
      </c>
      <c r="G149" s="18">
        <f t="shared" ref="G149:G152" si="20">E149-D149</f>
        <v>0</v>
      </c>
      <c r="H149" s="259"/>
      <c r="I149" s="18"/>
      <c r="K149" t="s">
        <v>170</v>
      </c>
    </row>
    <row r="150" spans="1:12" ht="15.75" hidden="1" outlineLevel="1">
      <c r="A150" s="34"/>
      <c r="B150" s="220" t="s">
        <v>192</v>
      </c>
      <c r="C150" s="258" t="s">
        <v>37</v>
      </c>
      <c r="D150" s="18"/>
      <c r="E150" s="259"/>
      <c r="F150" s="18" t="e">
        <f t="shared" si="19"/>
        <v>#DIV/0!</v>
      </c>
      <c r="G150" s="18">
        <f t="shared" si="20"/>
        <v>0</v>
      </c>
      <c r="H150" s="259"/>
      <c r="I150" s="18"/>
      <c r="K150" t="s">
        <v>170</v>
      </c>
    </row>
    <row r="151" spans="1:12" ht="15.75" hidden="1" outlineLevel="1">
      <c r="A151" s="34"/>
      <c r="B151" s="220" t="s">
        <v>193</v>
      </c>
      <c r="C151" s="258" t="s">
        <v>37</v>
      </c>
      <c r="D151" s="18"/>
      <c r="E151" s="259"/>
      <c r="F151" s="18" t="e">
        <f t="shared" si="19"/>
        <v>#DIV/0!</v>
      </c>
      <c r="G151" s="18">
        <f t="shared" si="20"/>
        <v>0</v>
      </c>
      <c r="H151" s="259"/>
      <c r="I151" s="18" t="e">
        <f>ROUND(E151/H151*100,1)</f>
        <v>#DIV/0!</v>
      </c>
      <c r="K151" t="s">
        <v>170</v>
      </c>
    </row>
    <row r="152" spans="1:12" ht="15.75" collapsed="1">
      <c r="A152" s="34" t="s">
        <v>161</v>
      </c>
      <c r="B152" s="220" t="s">
        <v>194</v>
      </c>
      <c r="C152" s="258" t="s">
        <v>37</v>
      </c>
      <c r="D152" s="267"/>
      <c r="E152" s="259">
        <v>558816.67700000003</v>
      </c>
      <c r="F152" s="18" t="e">
        <f t="shared" si="19"/>
        <v>#DIV/0!</v>
      </c>
      <c r="G152" s="18">
        <f t="shared" si="20"/>
        <v>558816.67700000003</v>
      </c>
      <c r="H152" s="259">
        <v>459645.20400000003</v>
      </c>
      <c r="I152" s="18">
        <f>ROUND(E152/H152*100,1)</f>
        <v>121.6</v>
      </c>
      <c r="K152" t="s">
        <v>170</v>
      </c>
      <c r="L152" t="s">
        <v>191</v>
      </c>
    </row>
    <row r="153" spans="1:12" ht="15.75" hidden="1" outlineLevel="1">
      <c r="A153" s="38"/>
      <c r="B153" s="38" t="s">
        <v>12</v>
      </c>
      <c r="C153" s="39"/>
      <c r="D153" s="260"/>
      <c r="E153" s="34">
        <f>'[8]1-полугод 2023 г. без.сп.над '!E152</f>
        <v>0</v>
      </c>
      <c r="F153" s="40"/>
      <c r="G153" s="40"/>
      <c r="H153" s="41"/>
      <c r="I153" s="42"/>
    </row>
    <row r="154" spans="1:12" ht="15.75" hidden="1" outlineLevel="1">
      <c r="A154" s="38"/>
      <c r="B154" s="43" t="s">
        <v>195</v>
      </c>
      <c r="C154" s="39" t="s">
        <v>37</v>
      </c>
      <c r="D154" s="40"/>
      <c r="E154" s="34">
        <f>'[8]1-полугод 2023 г. без.сп.над '!E153</f>
        <v>0</v>
      </c>
      <c r="F154" s="40"/>
      <c r="G154" s="40"/>
      <c r="H154" s="41"/>
      <c r="I154" s="40"/>
    </row>
    <row r="155" spans="1:12" ht="15.75" hidden="1" outlineLevel="1">
      <c r="A155" s="38"/>
      <c r="B155" s="43" t="s">
        <v>193</v>
      </c>
      <c r="C155" s="39" t="s">
        <v>37</v>
      </c>
      <c r="D155" s="40"/>
      <c r="E155" s="34">
        <f>'[8]1-полугод 2023 г. без.сп.над '!E154</f>
        <v>0</v>
      </c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196</v>
      </c>
      <c r="C156" s="39" t="s">
        <v>37</v>
      </c>
      <c r="D156" s="40"/>
      <c r="E156" s="34">
        <f>'[8]1-полугод 2023 г. без.сп.над '!E155</f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197</v>
      </c>
      <c r="C157" s="39" t="s">
        <v>37</v>
      </c>
      <c r="D157" s="40"/>
      <c r="E157" s="34">
        <f>'[8]1-полугод 2023 г. без.сп.над '!E156</f>
        <v>0</v>
      </c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198</v>
      </c>
      <c r="C158" s="39" t="s">
        <v>37</v>
      </c>
      <c r="D158" s="40"/>
      <c r="E158" s="34">
        <f>'[8]1-полугод 2023 г. без.сп.над '!E157</f>
        <v>0</v>
      </c>
      <c r="F158" s="40"/>
      <c r="G158" s="40"/>
      <c r="H158" s="41"/>
      <c r="I158" s="40" t="e">
        <f>ROUND(E158/H158*100,1)</f>
        <v>#DIV/0!</v>
      </c>
    </row>
    <row r="159" spans="1:12" ht="15.75" hidden="1" outlineLevel="1">
      <c r="A159" s="38"/>
      <c r="B159" s="43" t="s">
        <v>199</v>
      </c>
      <c r="C159" s="39" t="s">
        <v>37</v>
      </c>
      <c r="D159" s="40"/>
      <c r="E159" s="34">
        <f>'[8]1-полугод 2023 г. без.сп.над '!E158</f>
        <v>0</v>
      </c>
      <c r="F159" s="40"/>
      <c r="G159" s="40"/>
      <c r="H159" s="41"/>
      <c r="I159" s="40" t="e">
        <f>ROUND(E159/H159*100,1)</f>
        <v>#DIV/0!</v>
      </c>
    </row>
    <row r="160" spans="1:12" ht="48.75" customHeight="1" collapsed="1">
      <c r="H160" s="44"/>
    </row>
    <row r="161" spans="1:9" ht="18.75">
      <c r="A161" s="32"/>
      <c r="B161" s="45" t="s">
        <v>205</v>
      </c>
      <c r="C161" s="46"/>
      <c r="D161" s="46"/>
      <c r="E161" s="46"/>
      <c r="F161" s="46"/>
      <c r="G161" s="47" t="s">
        <v>200</v>
      </c>
      <c r="H161" s="46"/>
      <c r="I161" s="46"/>
    </row>
    <row r="162" spans="1:9" ht="18.75">
      <c r="A162" s="32"/>
      <c r="B162" s="48"/>
      <c r="C162" s="48"/>
      <c r="D162" s="48"/>
      <c r="E162" s="48"/>
      <c r="F162" s="48"/>
      <c r="G162" s="48"/>
      <c r="H162" s="48"/>
      <c r="I162" s="48"/>
    </row>
    <row r="163" spans="1:9" ht="18.75">
      <c r="A163" s="32"/>
      <c r="B163" s="46" t="s">
        <v>201</v>
      </c>
      <c r="C163" s="46"/>
      <c r="D163" s="46"/>
      <c r="E163" s="46"/>
      <c r="F163" s="48"/>
      <c r="G163" s="46" t="s">
        <v>202</v>
      </c>
      <c r="H163" s="46"/>
      <c r="I163" s="48"/>
    </row>
    <row r="164" spans="1:9" ht="18.75" outlineLevel="1">
      <c r="A164" s="32"/>
      <c r="B164" s="46"/>
      <c r="C164" s="46"/>
      <c r="D164" s="46"/>
      <c r="E164" s="46"/>
      <c r="F164" s="48"/>
      <c r="G164" s="46"/>
      <c r="H164" s="46"/>
      <c r="I164" s="48"/>
    </row>
    <row r="165" spans="1:9" ht="18.75" outlineLevel="1">
      <c r="A165" s="32"/>
      <c r="B165" s="46" t="s">
        <v>206</v>
      </c>
      <c r="C165" s="46"/>
      <c r="D165" s="46"/>
      <c r="E165" s="46"/>
      <c r="F165" s="48"/>
      <c r="G165" s="46" t="str">
        <f>'[2]2019'!$G$164</f>
        <v>Бегматов  Ш.Т.</v>
      </c>
      <c r="H165" s="46"/>
      <c r="I165" s="48"/>
    </row>
    <row r="166" spans="1:9" ht="18.75">
      <c r="A166" s="32"/>
      <c r="B166" s="46"/>
      <c r="C166" s="46"/>
      <c r="D166" s="46"/>
      <c r="E166" s="46"/>
      <c r="F166" s="48"/>
      <c r="G166" s="46"/>
      <c r="H166" s="46"/>
      <c r="I166" s="48"/>
    </row>
    <row r="167" spans="1:9" ht="18.75">
      <c r="A167" s="32"/>
      <c r="B167" s="46" t="str">
        <f>'[3]2019'!B168</f>
        <v>Начальник ОЭАиП</v>
      </c>
      <c r="C167" s="46"/>
      <c r="D167" s="46"/>
      <c r="E167" s="46"/>
      <c r="F167" s="48"/>
      <c r="G167" s="46" t="s">
        <v>251</v>
      </c>
      <c r="H167" s="46"/>
      <c r="I167" s="48"/>
    </row>
    <row r="168" spans="1:9" ht="15.75">
      <c r="B168" s="49"/>
      <c r="C168" s="49"/>
      <c r="D168" s="49"/>
      <c r="E168" s="49"/>
      <c r="G168" s="49"/>
    </row>
    <row r="169" spans="1:9" ht="15.75">
      <c r="B169" s="49"/>
      <c r="C169" s="49"/>
      <c r="D169" s="49"/>
      <c r="E169" s="49"/>
      <c r="G169" s="49"/>
    </row>
    <row r="170" spans="1:9" ht="15.75">
      <c r="B170" s="207" t="s">
        <v>243</v>
      </c>
      <c r="C170" s="49"/>
      <c r="D170" s="49"/>
      <c r="E170" s="49"/>
      <c r="G170" s="49"/>
    </row>
    <row r="171" spans="1:9" ht="15.75">
      <c r="B171" s="49"/>
      <c r="C171" s="49"/>
      <c r="D171" s="49"/>
      <c r="E171" s="49"/>
      <c r="G171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" top="0.51181102362204722" bottom="0.15748031496062992" header="0.15748031496062992" footer="0.11811023622047245"/>
  <pageSetup paperSize="9" scale="64" orientation="portrait" blackAndWhite="1" r:id="rId1"/>
  <headerFooter alignWithMargins="0"/>
  <rowBreaks count="1" manualBreakCount="1">
    <brk id="9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0"/>
  <sheetViews>
    <sheetView showZeros="0" view="pageBreakPreview" zoomScale="90" zoomScaleNormal="100" zoomScaleSheetLayoutView="90" workbookViewId="0">
      <pane ySplit="3" topLeftCell="A78" activePane="bottomLeft" state="frozen"/>
      <selection activeCell="S5" sqref="S5"/>
      <selection pane="bottomLeft" activeCell="B117" sqref="B117"/>
    </sheetView>
  </sheetViews>
  <sheetFormatPr defaultRowHeight="12.75" outlineLevelRow="2" outlineLevelCol="1"/>
  <cols>
    <col min="1" max="1" width="3.8554687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4" width="9.140625" hidden="1" customWidth="1" outlineLevel="1"/>
    <col min="15" max="15" width="9.140625" collapsed="1"/>
  </cols>
  <sheetData>
    <row r="1" spans="1:10" ht="48" customHeight="1">
      <c r="A1" s="282" t="s">
        <v>244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246</v>
      </c>
      <c r="E2" s="289"/>
      <c r="F2" s="289"/>
      <c r="G2" s="289"/>
      <c r="H2" s="290" t="s">
        <v>245</v>
      </c>
      <c r="I2" s="288" t="s">
        <v>3</v>
      </c>
    </row>
    <row r="3" spans="1:10" ht="22.5" customHeight="1">
      <c r="A3" s="286"/>
      <c r="B3" s="287"/>
      <c r="C3" s="287"/>
      <c r="D3" s="211" t="s">
        <v>4</v>
      </c>
      <c r="E3" s="210" t="s">
        <v>5</v>
      </c>
      <c r="F3" s="210" t="s">
        <v>6</v>
      </c>
      <c r="G3" s="210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2" t="s">
        <v>9</v>
      </c>
      <c r="B5" s="3" t="s">
        <v>10</v>
      </c>
      <c r="C5" s="212" t="s">
        <v>11</v>
      </c>
      <c r="D5" s="5">
        <f>D7+D8+D9</f>
        <v>2445.6</v>
      </c>
      <c r="E5" s="174">
        <f>E7+E8+E9</f>
        <v>2375.19</v>
      </c>
      <c r="F5" s="5">
        <f>ROUND(E5/D5*100,1)</f>
        <v>97.1</v>
      </c>
      <c r="G5" s="5">
        <f>E5-D5</f>
        <v>-70.409999999999854</v>
      </c>
      <c r="H5" s="6">
        <f>H7+H8+H9</f>
        <v>2151.7069999999999</v>
      </c>
      <c r="I5" s="6">
        <f>IF(H5&gt;0,ROUND(E5/H5*100,1),0)</f>
        <v>110.4</v>
      </c>
    </row>
    <row r="6" spans="1:10" ht="15.75" customHeight="1">
      <c r="A6" s="2"/>
      <c r="B6" s="2" t="s">
        <v>12</v>
      </c>
      <c r="C6" s="2"/>
      <c r="D6" s="34"/>
      <c r="E6" s="34"/>
      <c r="F6" s="34"/>
      <c r="G6" s="34"/>
      <c r="H6" s="18"/>
      <c r="I6" s="7"/>
    </row>
    <row r="7" spans="1:10" ht="15.75">
      <c r="A7" s="2"/>
      <c r="B7" s="8" t="s">
        <v>13</v>
      </c>
      <c r="C7" s="2" t="s">
        <v>11</v>
      </c>
      <c r="D7" s="175">
        <v>2164.4</v>
      </c>
      <c r="E7" s="175">
        <v>2168.8719999999998</v>
      </c>
      <c r="F7" s="34">
        <f>ROUND(E7/D7*100,1)</f>
        <v>100.2</v>
      </c>
      <c r="G7" s="175">
        <f>E7-D7</f>
        <v>4.4719999999997526</v>
      </c>
      <c r="H7" s="175">
        <v>1817.6410000000001</v>
      </c>
      <c r="I7" s="9">
        <f>IF(H7&gt;0,ROUND(E7/H7*100,1),0)</f>
        <v>119.3</v>
      </c>
    </row>
    <row r="8" spans="1:10" ht="15.75">
      <c r="A8" s="2"/>
      <c r="B8" s="8" t="s">
        <v>14</v>
      </c>
      <c r="C8" s="2" t="s">
        <v>11</v>
      </c>
      <c r="D8" s="175">
        <v>27.7</v>
      </c>
      <c r="E8" s="175">
        <v>31.172000000000001</v>
      </c>
      <c r="F8" s="34">
        <f>ROUND(E8/D8*100,1)</f>
        <v>112.5</v>
      </c>
      <c r="G8" s="175">
        <f>E8-D8</f>
        <v>3.4720000000000013</v>
      </c>
      <c r="H8" s="175">
        <v>31.773</v>
      </c>
      <c r="I8" s="9">
        <f>IF(H8&gt;0,ROUND(E8/H8*100,1),0)</f>
        <v>98.1</v>
      </c>
    </row>
    <row r="9" spans="1:10" ht="15.75">
      <c r="A9" s="2"/>
      <c r="B9" s="8" t="s">
        <v>15</v>
      </c>
      <c r="C9" s="2" t="s">
        <v>11</v>
      </c>
      <c r="D9" s="175">
        <v>253.5</v>
      </c>
      <c r="E9" s="175">
        <v>175.14599999999999</v>
      </c>
      <c r="F9" s="34">
        <f>ROUND(E9/D9*100,1)</f>
        <v>69.099999999999994</v>
      </c>
      <c r="G9" s="175">
        <f>E9-D9</f>
        <v>-78.354000000000013</v>
      </c>
      <c r="H9" s="175">
        <v>302.29300000000001</v>
      </c>
      <c r="I9" s="9">
        <f>IF(H9&gt;0,ROUND(E9/H9*100,1),0)</f>
        <v>57.9</v>
      </c>
    </row>
    <row r="10" spans="1:10" ht="15.75">
      <c r="A10" s="2" t="s">
        <v>16</v>
      </c>
      <c r="B10" s="3" t="s">
        <v>17</v>
      </c>
      <c r="C10" s="209" t="s">
        <v>11</v>
      </c>
      <c r="D10" s="6">
        <f>D12+D13</f>
        <v>265</v>
      </c>
      <c r="E10" s="6">
        <f>E12+E13</f>
        <v>248.95499999999998</v>
      </c>
      <c r="F10" s="5">
        <f>ROUND(E10/D10*100,1)</f>
        <v>93.9</v>
      </c>
      <c r="G10" s="174">
        <f>E10-D10</f>
        <v>-16.045000000000016</v>
      </c>
      <c r="H10" s="176">
        <f>H12+H13</f>
        <v>124.2</v>
      </c>
      <c r="I10" s="10"/>
    </row>
    <row r="11" spans="1:10" ht="17.25" customHeight="1">
      <c r="A11" s="2"/>
      <c r="B11" s="2" t="s">
        <v>12</v>
      </c>
      <c r="C11" s="2"/>
      <c r="D11" s="34"/>
      <c r="E11" s="34"/>
      <c r="F11" s="34"/>
      <c r="G11" s="34"/>
      <c r="H11" s="18"/>
      <c r="I11" s="7"/>
    </row>
    <row r="12" spans="1:10" ht="15.75">
      <c r="A12" s="2"/>
      <c r="B12" s="8" t="s">
        <v>18</v>
      </c>
      <c r="C12" s="2" t="s">
        <v>11</v>
      </c>
      <c r="D12" s="34">
        <v>105</v>
      </c>
      <c r="E12" s="34">
        <v>116.652</v>
      </c>
      <c r="F12" s="34">
        <f>ROUND(E12/D12*100,1)</f>
        <v>111.1</v>
      </c>
      <c r="G12" s="34">
        <f>E12-D12</f>
        <v>11.652000000000001</v>
      </c>
      <c r="H12" s="34">
        <v>82.7</v>
      </c>
      <c r="I12" s="9">
        <f t="shared" ref="I12:I13" si="0">IF(H12&gt;0,ROUND(E12/H12*100,1),0)</f>
        <v>141.1</v>
      </c>
    </row>
    <row r="13" spans="1:10" ht="15.75">
      <c r="A13" s="2"/>
      <c r="B13" s="8" t="s">
        <v>19</v>
      </c>
      <c r="C13" s="2" t="s">
        <v>11</v>
      </c>
      <c r="D13" s="34">
        <v>160</v>
      </c>
      <c r="E13" s="34">
        <v>132.303</v>
      </c>
      <c r="F13" s="34">
        <f>ROUND(E13/D13*100,1)</f>
        <v>82.7</v>
      </c>
      <c r="G13" s="34">
        <f>E13-D13</f>
        <v>-27.697000000000003</v>
      </c>
      <c r="H13" s="34">
        <v>41.5</v>
      </c>
      <c r="I13" s="9">
        <f t="shared" si="0"/>
        <v>318.8</v>
      </c>
    </row>
    <row r="14" spans="1:10" ht="15.75">
      <c r="A14" s="2" t="s">
        <v>20</v>
      </c>
      <c r="B14" s="3" t="s">
        <v>21</v>
      </c>
      <c r="C14" s="212" t="s">
        <v>11</v>
      </c>
      <c r="D14" s="174">
        <f>D16+D17+D18</f>
        <v>2256.9</v>
      </c>
      <c r="E14" s="174">
        <f>E16+E17+E18</f>
        <v>2431.3069999999998</v>
      </c>
      <c r="F14" s="5">
        <f>ROUND(E14/D14*100,1)</f>
        <v>107.7</v>
      </c>
      <c r="G14" s="5">
        <f>E14-D14</f>
        <v>174.4069999999997</v>
      </c>
      <c r="H14" s="6">
        <f>H16+H17+H18</f>
        <v>2487.3209999999999</v>
      </c>
      <c r="I14" s="10">
        <f>IF(H14&gt;0,ROUND(E14/H14*100,1),0)</f>
        <v>97.7</v>
      </c>
      <c r="J14" t="s">
        <v>22</v>
      </c>
    </row>
    <row r="15" spans="1:10" ht="18" customHeight="1">
      <c r="A15" s="2"/>
      <c r="B15" s="2" t="s">
        <v>12</v>
      </c>
      <c r="C15" s="2"/>
      <c r="D15" s="175"/>
      <c r="E15" s="175"/>
      <c r="F15" s="34"/>
      <c r="G15" s="34"/>
      <c r="H15" s="18"/>
      <c r="I15" s="7"/>
    </row>
    <row r="16" spans="1:10" ht="15.75">
      <c r="A16" s="2"/>
      <c r="B16" s="8" t="s">
        <v>13</v>
      </c>
      <c r="C16" s="2" t="s">
        <v>11</v>
      </c>
      <c r="D16" s="175">
        <v>1930.1</v>
      </c>
      <c r="E16" s="175">
        <v>2111.2179999999998</v>
      </c>
      <c r="F16" s="34">
        <f>ROUND(E16/D16*100,1)</f>
        <v>109.4</v>
      </c>
      <c r="G16" s="34">
        <f>E16-D16</f>
        <v>181.11799999999994</v>
      </c>
      <c r="H16" s="34">
        <v>2148.9079999999999</v>
      </c>
      <c r="I16" s="9">
        <f>IF(H16&gt;0,ROUND(E16/H16*100,1),0)</f>
        <v>98.2</v>
      </c>
      <c r="J16" t="s">
        <v>22</v>
      </c>
    </row>
    <row r="17" spans="1:12" ht="15.75">
      <c r="A17" s="2"/>
      <c r="B17" s="8" t="s">
        <v>14</v>
      </c>
      <c r="C17" s="2" t="s">
        <v>11</v>
      </c>
      <c r="D17" s="175">
        <v>27.7</v>
      </c>
      <c r="E17" s="175">
        <v>31.183</v>
      </c>
      <c r="F17" s="34">
        <f>ROUND(E17/D17*100,1)</f>
        <v>112.6</v>
      </c>
      <c r="G17" s="34">
        <f>E17-D17</f>
        <v>3.4830000000000005</v>
      </c>
      <c r="H17" s="34">
        <v>31.878</v>
      </c>
      <c r="I17" s="9">
        <f>IF(H17&gt;0,ROUND(E17/H17*100,1),0)</f>
        <v>97.8</v>
      </c>
      <c r="J17" t="s">
        <v>22</v>
      </c>
    </row>
    <row r="18" spans="1:12" ht="15.75">
      <c r="A18" s="2"/>
      <c r="B18" s="8" t="s">
        <v>15</v>
      </c>
      <c r="C18" s="2" t="s">
        <v>11</v>
      </c>
      <c r="D18" s="175">
        <v>299.10000000000002</v>
      </c>
      <c r="E18" s="175">
        <v>288.90600000000001</v>
      </c>
      <c r="F18" s="34">
        <f>ROUND(E18/D18*100,1)</f>
        <v>96.6</v>
      </c>
      <c r="G18" s="34">
        <f>E18-D18</f>
        <v>-10.194000000000017</v>
      </c>
      <c r="H18" s="18">
        <v>306.53500000000003</v>
      </c>
      <c r="I18" s="9">
        <f>IF(H18&gt;0,ROUND(E18/H18*100,1),0)</f>
        <v>94.2</v>
      </c>
    </row>
    <row r="19" spans="1:12" ht="18.75">
      <c r="A19" s="2" t="s">
        <v>23</v>
      </c>
      <c r="B19" s="3" t="s">
        <v>24</v>
      </c>
      <c r="C19" s="212" t="s">
        <v>25</v>
      </c>
      <c r="D19" s="5">
        <f>D21+D22+D23+D24</f>
        <v>16280</v>
      </c>
      <c r="E19" s="5">
        <f>E21+E22+E23+E24</f>
        <v>8341.6949999999997</v>
      </c>
      <c r="F19" s="5">
        <f>ROUND(E19/D19*100,1)</f>
        <v>51.2</v>
      </c>
      <c r="G19" s="5">
        <f>E19-D19</f>
        <v>-7938.3050000000003</v>
      </c>
      <c r="H19" s="6">
        <f>H21+H22+H23+H24</f>
        <v>14961.599999999999</v>
      </c>
      <c r="I19" s="10">
        <f>IF(H19&gt;0,ROUND(E19/H19*100,1),0)</f>
        <v>55.8</v>
      </c>
      <c r="J19" t="s">
        <v>22</v>
      </c>
    </row>
    <row r="20" spans="1:12" ht="15.75">
      <c r="A20" s="2"/>
      <c r="B20" s="3" t="s">
        <v>26</v>
      </c>
      <c r="C20" s="2"/>
      <c r="D20" s="34"/>
      <c r="E20" s="34"/>
      <c r="F20" s="34"/>
      <c r="G20" s="34"/>
      <c r="H20" s="18"/>
      <c r="I20" s="7"/>
      <c r="L20" s="11"/>
    </row>
    <row r="21" spans="1:12" ht="18.75">
      <c r="A21" s="2"/>
      <c r="B21" s="8" t="s">
        <v>27</v>
      </c>
      <c r="C21" s="2" t="s">
        <v>28</v>
      </c>
      <c r="D21" s="34">
        <v>4190</v>
      </c>
      <c r="E21" s="34">
        <v>3058.88</v>
      </c>
      <c r="F21" s="34">
        <f>ROUND(E21/D21*100,1)</f>
        <v>73</v>
      </c>
      <c r="G21" s="34">
        <f t="shared" ref="G21:G31" si="1">E21-D21</f>
        <v>-1131.1199999999999</v>
      </c>
      <c r="H21" s="34">
        <v>3931.8</v>
      </c>
      <c r="I21" s="9">
        <f t="shared" ref="I21:I28" si="2">IF(H21&gt;0,ROUND(E21/H21*100,1),0)</f>
        <v>77.8</v>
      </c>
      <c r="J21" t="s">
        <v>22</v>
      </c>
    </row>
    <row r="22" spans="1:12" ht="18.75">
      <c r="A22" s="2"/>
      <c r="B22" s="8" t="s">
        <v>29</v>
      </c>
      <c r="C22" s="2" t="s">
        <v>28</v>
      </c>
      <c r="D22" s="34">
        <v>12090</v>
      </c>
      <c r="E22" s="34">
        <v>5282.8149999999996</v>
      </c>
      <c r="F22" s="34">
        <f>ROUND(E22/D22*100,1)</f>
        <v>43.7</v>
      </c>
      <c r="G22" s="34">
        <f t="shared" si="1"/>
        <v>-6807.1850000000004</v>
      </c>
      <c r="H22" s="34">
        <v>11029.8</v>
      </c>
      <c r="I22" s="9">
        <f t="shared" si="2"/>
        <v>47.9</v>
      </c>
      <c r="J22" t="s">
        <v>22</v>
      </c>
    </row>
    <row r="23" spans="1:12" ht="18.75" hidden="1" outlineLevel="1">
      <c r="A23" s="2"/>
      <c r="B23" s="8" t="s">
        <v>30</v>
      </c>
      <c r="C23" s="2" t="s">
        <v>28</v>
      </c>
      <c r="D23" s="34"/>
      <c r="E23" s="34"/>
      <c r="F23" s="34"/>
      <c r="G23" s="34">
        <f t="shared" si="1"/>
        <v>0</v>
      </c>
      <c r="H23" s="34"/>
      <c r="I23" s="9">
        <f t="shared" si="2"/>
        <v>0</v>
      </c>
      <c r="J23" t="s">
        <v>22</v>
      </c>
    </row>
    <row r="24" spans="1:12" ht="18.75" collapsed="1">
      <c r="A24" s="2"/>
      <c r="B24" s="8" t="s">
        <v>31</v>
      </c>
      <c r="C24" s="2" t="s">
        <v>28</v>
      </c>
      <c r="D24" s="177">
        <v>0</v>
      </c>
      <c r="E24" s="177">
        <v>0</v>
      </c>
      <c r="F24" s="183">
        <f>E24</f>
        <v>0</v>
      </c>
      <c r="G24" s="183">
        <v>0</v>
      </c>
      <c r="H24" s="34"/>
      <c r="I24" s="184">
        <v>0</v>
      </c>
      <c r="J24" t="s">
        <v>22</v>
      </c>
    </row>
    <row r="25" spans="1:12" ht="15.75">
      <c r="A25" s="2" t="s">
        <v>32</v>
      </c>
      <c r="B25" s="12" t="s">
        <v>33</v>
      </c>
      <c r="C25" s="13" t="s">
        <v>34</v>
      </c>
      <c r="D25" s="18">
        <v>575</v>
      </c>
      <c r="E25" s="18">
        <v>700</v>
      </c>
      <c r="F25" s="18">
        <f t="shared" ref="F25:F29" si="3">ROUND(E25/D25*100,1)</f>
        <v>121.7</v>
      </c>
      <c r="G25" s="18">
        <f t="shared" si="1"/>
        <v>125</v>
      </c>
      <c r="H25" s="18">
        <v>736</v>
      </c>
      <c r="I25" s="9">
        <f t="shared" si="2"/>
        <v>95.1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18">
        <v>447891</v>
      </c>
      <c r="E26" s="18">
        <v>433804.46</v>
      </c>
      <c r="F26" s="18">
        <f t="shared" si="3"/>
        <v>96.9</v>
      </c>
      <c r="G26" s="18">
        <f t="shared" si="1"/>
        <v>-14086.539999999979</v>
      </c>
      <c r="H26" s="18">
        <v>392016.36900000001</v>
      </c>
      <c r="I26" s="18">
        <f t="shared" si="2"/>
        <v>110.7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231</v>
      </c>
      <c r="C27" s="17" t="s">
        <v>37</v>
      </c>
      <c r="D27" s="18">
        <v>89534</v>
      </c>
      <c r="E27" s="18">
        <v>0</v>
      </c>
      <c r="F27" s="18">
        <f t="shared" si="3"/>
        <v>0</v>
      </c>
      <c r="G27" s="18">
        <f>E27-D27</f>
        <v>-89534</v>
      </c>
      <c r="H27" s="18">
        <v>147.72300000000001</v>
      </c>
      <c r="I27" s="18">
        <f t="shared" si="2"/>
        <v>0</v>
      </c>
      <c r="J27" t="s">
        <v>22</v>
      </c>
      <c r="K27"/>
    </row>
    <row r="28" spans="1:12" ht="31.5">
      <c r="A28" s="2" t="s">
        <v>39</v>
      </c>
      <c r="B28" s="12" t="s">
        <v>225</v>
      </c>
      <c r="C28" s="17" t="s">
        <v>37</v>
      </c>
      <c r="D28" s="18">
        <v>22100</v>
      </c>
      <c r="E28" s="18">
        <v>31866.316999999999</v>
      </c>
      <c r="F28" s="18">
        <f t="shared" si="3"/>
        <v>144.19999999999999</v>
      </c>
      <c r="G28" s="18">
        <f t="shared" si="1"/>
        <v>9766.3169999999991</v>
      </c>
      <c r="H28" s="18">
        <v>27127.4</v>
      </c>
      <c r="I28" s="9">
        <f t="shared" si="2"/>
        <v>117.5</v>
      </c>
      <c r="J28" t="s">
        <v>22</v>
      </c>
    </row>
    <row r="29" spans="1:12" ht="19.5" customHeight="1">
      <c r="A29" s="13" t="s">
        <v>41</v>
      </c>
      <c r="B29" s="21" t="s">
        <v>42</v>
      </c>
      <c r="C29" s="17" t="s">
        <v>37</v>
      </c>
      <c r="D29" s="18">
        <v>3274.4</v>
      </c>
      <c r="E29" s="18">
        <v>3274.4</v>
      </c>
      <c r="F29" s="18">
        <f t="shared" si="3"/>
        <v>100</v>
      </c>
      <c r="G29" s="18">
        <f t="shared" si="1"/>
        <v>0</v>
      </c>
      <c r="H29" s="18">
        <v>3197.2</v>
      </c>
      <c r="I29" s="9">
        <f>IF(H29&gt;0,ROUND(E29/H29*100,1),0)</f>
        <v>102.4</v>
      </c>
      <c r="J29" t="s">
        <v>22</v>
      </c>
    </row>
    <row r="30" spans="1:12" ht="21.75" customHeight="1">
      <c r="A30" s="291" t="s">
        <v>43</v>
      </c>
      <c r="B30" s="292"/>
      <c r="C30" s="292"/>
      <c r="D30" s="292"/>
      <c r="E30" s="292"/>
      <c r="F30" s="292"/>
      <c r="G30" s="292"/>
      <c r="H30" s="292"/>
      <c r="I30" s="292"/>
    </row>
    <row r="31" spans="1:12" ht="32.25" hidden="1" customHeight="1" outlineLevel="1">
      <c r="A31" s="13" t="s">
        <v>44</v>
      </c>
      <c r="B31" s="17" t="s">
        <v>45</v>
      </c>
      <c r="C31" s="17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2" t="s">
        <v>47</v>
      </c>
      <c r="B32" s="12" t="s">
        <v>48</v>
      </c>
      <c r="C32" s="17" t="s">
        <v>37</v>
      </c>
      <c r="D32" s="23"/>
      <c r="E32" s="23"/>
      <c r="F32" s="23"/>
      <c r="G32" s="25"/>
      <c r="H32" s="18"/>
      <c r="I32" s="18">
        <f>IF(H32&gt;0,ROUND(E32/H32*100,1),0)</f>
        <v>0</v>
      </c>
    </row>
    <row r="33" spans="1:14" ht="15.75">
      <c r="A33" s="2" t="s">
        <v>49</v>
      </c>
      <c r="B33" s="3" t="s">
        <v>50</v>
      </c>
      <c r="C33" s="17" t="s">
        <v>37</v>
      </c>
      <c r="D33" s="26">
        <f>D39+D38</f>
        <v>70206.811282250012</v>
      </c>
      <c r="E33" s="26">
        <f>E39+E37</f>
        <v>-26967.003000000008</v>
      </c>
      <c r="F33" s="26">
        <f>F39</f>
        <v>0</v>
      </c>
      <c r="G33" s="26">
        <f>G39</f>
        <v>-69801.206000000006</v>
      </c>
      <c r="H33" s="26">
        <f>H35+H39+H43+H44+H45</f>
        <v>67451.5</v>
      </c>
      <c r="I33" s="26">
        <f t="shared" ref="I33:N33" si="4">I35+I39</f>
        <v>0</v>
      </c>
      <c r="J33" s="26" t="e">
        <f t="shared" si="4"/>
        <v>#VALUE!</v>
      </c>
      <c r="K33" s="26">
        <f t="shared" si="4"/>
        <v>0</v>
      </c>
      <c r="L33" s="26">
        <f t="shared" si="4"/>
        <v>0</v>
      </c>
      <c r="M33" s="26">
        <f t="shared" si="4"/>
        <v>0</v>
      </c>
      <c r="N33" s="26">
        <f t="shared" si="4"/>
        <v>0</v>
      </c>
    </row>
    <row r="34" spans="1:14" ht="15.75">
      <c r="A34" s="15"/>
      <c r="B34" s="16" t="s">
        <v>52</v>
      </c>
      <c r="C34" s="17" t="s">
        <v>37</v>
      </c>
      <c r="D34" s="18" t="s">
        <v>73</v>
      </c>
      <c r="E34" s="18" t="s">
        <v>73</v>
      </c>
      <c r="F34" s="18" t="s">
        <v>73</v>
      </c>
      <c r="G34" s="18" t="s">
        <v>73</v>
      </c>
      <c r="H34" s="28"/>
      <c r="I34" s="28"/>
    </row>
    <row r="35" spans="1:14" ht="15.75">
      <c r="A35" s="15"/>
      <c r="B35" s="29" t="s">
        <v>53</v>
      </c>
      <c r="C35" s="17" t="s">
        <v>37</v>
      </c>
      <c r="D35" s="18">
        <f>D38</f>
        <v>405.60528225000598</v>
      </c>
      <c r="E35" s="18">
        <f>E37</f>
        <v>-26967.003000000008</v>
      </c>
      <c r="F35" s="18" t="s">
        <v>73</v>
      </c>
      <c r="G35" s="18" t="s">
        <v>73</v>
      </c>
      <c r="H35" s="28">
        <v>-1789.2</v>
      </c>
      <c r="I35" s="28">
        <f>IF(H35&gt;0,ROUND(E35/H35*100,1),0)</f>
        <v>0</v>
      </c>
      <c r="J35" t="s">
        <v>51</v>
      </c>
    </row>
    <row r="36" spans="1:14" ht="15.75">
      <c r="A36" s="15"/>
      <c r="B36" s="29" t="s">
        <v>54</v>
      </c>
      <c r="C36" s="17" t="s">
        <v>37</v>
      </c>
      <c r="D36" s="18" t="s">
        <v>73</v>
      </c>
      <c r="E36" s="18" t="s">
        <v>73</v>
      </c>
      <c r="F36" s="18" t="s">
        <v>73</v>
      </c>
      <c r="G36" s="18" t="s">
        <v>73</v>
      </c>
      <c r="H36" s="28"/>
      <c r="I36" s="28"/>
    </row>
    <row r="37" spans="1:14" ht="15.75">
      <c r="A37" s="15"/>
      <c r="B37" s="30" t="s">
        <v>55</v>
      </c>
      <c r="C37" s="17" t="s">
        <v>37</v>
      </c>
      <c r="D37" s="18" t="s">
        <v>73</v>
      </c>
      <c r="E37" s="18">
        <f>E96</f>
        <v>-26967.003000000008</v>
      </c>
      <c r="F37" s="18" t="s">
        <v>73</v>
      </c>
      <c r="G37" s="18" t="s">
        <v>73</v>
      </c>
      <c r="H37" s="28"/>
      <c r="I37" s="28"/>
    </row>
    <row r="38" spans="1:14" ht="15.75">
      <c r="A38" s="15"/>
      <c r="B38" s="30" t="s">
        <v>56</v>
      </c>
      <c r="C38" s="17" t="s">
        <v>37</v>
      </c>
      <c r="D38" s="18">
        <f>D96</f>
        <v>405.60528225000598</v>
      </c>
      <c r="E38" s="18" t="s">
        <v>73</v>
      </c>
      <c r="F38" s="18" t="s">
        <v>73</v>
      </c>
      <c r="G38" s="18" t="s">
        <v>73</v>
      </c>
      <c r="H38" s="28"/>
      <c r="I38" s="28"/>
    </row>
    <row r="39" spans="1:14" ht="15.75">
      <c r="A39" s="15"/>
      <c r="B39" s="29" t="s">
        <v>57</v>
      </c>
      <c r="C39" s="17" t="s">
        <v>37</v>
      </c>
      <c r="D39" s="28">
        <f>D129</f>
        <v>69801.206000000006</v>
      </c>
      <c r="E39" s="28"/>
      <c r="F39" s="28">
        <f t="shared" ref="F39" si="5">ROUND(E39/D39*100,1)</f>
        <v>0</v>
      </c>
      <c r="G39" s="27">
        <f t="shared" ref="G39:G42" si="6">E39-D39</f>
        <v>-69801.206000000006</v>
      </c>
      <c r="H39" s="28">
        <v>69240.7</v>
      </c>
      <c r="I39" s="28">
        <f>IF(H39&gt;0,ROUND(E39/H39*100,1),0)</f>
        <v>0</v>
      </c>
      <c r="J39" t="s">
        <v>58</v>
      </c>
    </row>
    <row r="40" spans="1:14" ht="15.75">
      <c r="A40" s="15"/>
      <c r="B40" s="50" t="s">
        <v>59</v>
      </c>
      <c r="C40" s="17" t="s">
        <v>37</v>
      </c>
      <c r="D40" s="18" t="s">
        <v>73</v>
      </c>
      <c r="E40" s="18" t="s">
        <v>73</v>
      </c>
      <c r="F40" s="18" t="s">
        <v>73</v>
      </c>
      <c r="G40" s="18" t="s">
        <v>73</v>
      </c>
      <c r="H40" s="18" t="s">
        <v>73</v>
      </c>
      <c r="I40" s="18" t="s">
        <v>73</v>
      </c>
    </row>
    <row r="41" spans="1:14" ht="33.75" customHeight="1">
      <c r="A41" s="51"/>
      <c r="B41" s="50" t="s">
        <v>60</v>
      </c>
      <c r="C41" s="17" t="s">
        <v>37</v>
      </c>
      <c r="D41" s="18" t="s">
        <v>73</v>
      </c>
      <c r="E41" s="18" t="s">
        <v>73</v>
      </c>
      <c r="F41" s="18" t="s">
        <v>73</v>
      </c>
      <c r="G41" s="18" t="s">
        <v>73</v>
      </c>
      <c r="H41" s="54" t="s">
        <v>73</v>
      </c>
      <c r="I41" s="18" t="s">
        <v>73</v>
      </c>
      <c r="J41" t="s">
        <v>51</v>
      </c>
    </row>
    <row r="42" spans="1:14" ht="15.75" hidden="1" outlineLevel="1">
      <c r="A42" s="15"/>
      <c r="B42" s="29" t="s">
        <v>61</v>
      </c>
      <c r="C42" s="17" t="s">
        <v>37</v>
      </c>
      <c r="D42" s="18"/>
      <c r="E42" s="18"/>
      <c r="F42" s="23"/>
      <c r="G42" s="27">
        <f t="shared" si="6"/>
        <v>0</v>
      </c>
      <c r="H42" s="18"/>
      <c r="I42" s="18"/>
    </row>
    <row r="43" spans="1:14" ht="15.75" collapsed="1">
      <c r="A43" s="15"/>
      <c r="B43" s="50" t="s">
        <v>62</v>
      </c>
      <c r="C43" s="17" t="s">
        <v>37</v>
      </c>
      <c r="D43" s="18" t="s">
        <v>73</v>
      </c>
      <c r="E43" s="18" t="s">
        <v>73</v>
      </c>
      <c r="F43" s="18" t="s">
        <v>73</v>
      </c>
      <c r="G43" s="18" t="s">
        <v>73</v>
      </c>
      <c r="H43" s="18"/>
      <c r="I43" s="18" t="s">
        <v>73</v>
      </c>
    </row>
    <row r="44" spans="1:14" ht="15.75">
      <c r="A44" s="15"/>
      <c r="B44" s="50" t="s">
        <v>63</v>
      </c>
      <c r="C44" s="17" t="s">
        <v>37</v>
      </c>
      <c r="D44" s="18" t="s">
        <v>73</v>
      </c>
      <c r="E44" s="18" t="s">
        <v>73</v>
      </c>
      <c r="F44" s="18" t="s">
        <v>73</v>
      </c>
      <c r="G44" s="18" t="s">
        <v>73</v>
      </c>
      <c r="H44" s="18"/>
      <c r="I44" s="18" t="s">
        <v>73</v>
      </c>
    </row>
    <row r="45" spans="1:14" ht="15.75" customHeight="1">
      <c r="A45" s="15"/>
      <c r="B45" s="29" t="s">
        <v>64</v>
      </c>
      <c r="C45" s="17" t="s">
        <v>37</v>
      </c>
      <c r="D45" s="18" t="s">
        <v>73</v>
      </c>
      <c r="E45" s="18" t="s">
        <v>73</v>
      </c>
      <c r="F45" s="18" t="s">
        <v>73</v>
      </c>
      <c r="G45" s="18" t="s">
        <v>73</v>
      </c>
      <c r="H45" s="18"/>
      <c r="I45" s="18" t="s">
        <v>73</v>
      </c>
    </row>
    <row r="46" spans="1:14" ht="47.25" hidden="1" outlineLevel="1">
      <c r="A46" s="15"/>
      <c r="B46" s="16" t="s">
        <v>65</v>
      </c>
      <c r="C46" s="17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4" ht="15.75" collapsed="1">
      <c r="A47" s="293" t="s">
        <v>66</v>
      </c>
      <c r="B47" s="293"/>
      <c r="C47" s="293"/>
      <c r="D47" s="293"/>
      <c r="E47" s="293"/>
      <c r="F47" s="293"/>
      <c r="G47" s="293"/>
      <c r="H47" s="293"/>
      <c r="I47" s="293"/>
    </row>
    <row r="48" spans="1:14" ht="15.75">
      <c r="A48" s="15" t="s">
        <v>67</v>
      </c>
      <c r="B48" s="52" t="s">
        <v>68</v>
      </c>
      <c r="C48" s="15"/>
      <c r="D48" s="34"/>
      <c r="E48" s="34"/>
      <c r="F48" s="34"/>
      <c r="G48" s="34"/>
      <c r="H48" s="34"/>
      <c r="I48" s="34"/>
    </row>
    <row r="49" spans="1:10" ht="15.75" hidden="1" outlineLevel="1">
      <c r="A49" s="15"/>
      <c r="B49" s="16" t="s">
        <v>69</v>
      </c>
      <c r="C49" s="17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0" ht="15.75" hidden="1" outlineLevel="1">
      <c r="A50" s="15"/>
      <c r="B50" s="15" t="s">
        <v>12</v>
      </c>
      <c r="C50" s="17"/>
      <c r="D50" s="53"/>
      <c r="E50" s="53"/>
      <c r="F50" s="53"/>
      <c r="G50" s="53"/>
      <c r="H50" s="53"/>
      <c r="I50" s="53"/>
    </row>
    <row r="51" spans="1:10" ht="15.75" collapsed="1">
      <c r="A51" s="15"/>
      <c r="B51" s="29" t="s">
        <v>71</v>
      </c>
      <c r="C51" s="17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54" t="s">
        <v>73</v>
      </c>
      <c r="I51" s="18" t="s">
        <v>73</v>
      </c>
    </row>
    <row r="52" spans="1:10" ht="15.75" hidden="1" outlineLevel="1">
      <c r="A52" s="15"/>
      <c r="B52" s="16" t="s">
        <v>74</v>
      </c>
      <c r="C52" s="17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0" ht="15.75" hidden="1" outlineLevel="1">
      <c r="A53" s="15"/>
      <c r="B53" s="16" t="s">
        <v>75</v>
      </c>
      <c r="C53" s="17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0" ht="15.75" collapsed="1">
      <c r="A54" s="15" t="s">
        <v>76</v>
      </c>
      <c r="B54" s="52" t="s">
        <v>77</v>
      </c>
      <c r="C54" s="17"/>
      <c r="D54" s="53"/>
      <c r="E54" s="53"/>
      <c r="F54" s="53"/>
      <c r="G54" s="53"/>
      <c r="H54" s="53"/>
      <c r="I54" s="53"/>
    </row>
    <row r="55" spans="1:10" ht="15.75">
      <c r="A55" s="15"/>
      <c r="B55" s="29" t="s">
        <v>78</v>
      </c>
      <c r="C55" s="17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0" ht="15.75" hidden="1" outlineLevel="1">
      <c r="A56" s="15"/>
      <c r="B56" s="16" t="s">
        <v>80</v>
      </c>
      <c r="C56" s="17" t="s">
        <v>81</v>
      </c>
      <c r="D56" s="55"/>
      <c r="E56" s="53"/>
      <c r="F56" s="53"/>
      <c r="G56" s="53"/>
      <c r="H56" s="53"/>
      <c r="I56" s="53"/>
    </row>
    <row r="57" spans="1:10" ht="24.75" hidden="1" customHeight="1" outlineLevel="1">
      <c r="A57" s="15"/>
      <c r="B57" s="16" t="s">
        <v>82</v>
      </c>
      <c r="C57" s="17" t="s">
        <v>81</v>
      </c>
      <c r="D57" s="56">
        <v>0</v>
      </c>
      <c r="E57" s="56"/>
      <c r="F57" s="56"/>
      <c r="G57" s="56"/>
      <c r="H57" s="56"/>
      <c r="I57" s="56"/>
    </row>
    <row r="58" spans="1:10" ht="15.75" collapsed="1">
      <c r="A58" s="294" t="s">
        <v>83</v>
      </c>
      <c r="B58" s="294"/>
      <c r="C58" s="294"/>
      <c r="D58" s="294"/>
      <c r="E58" s="294"/>
      <c r="F58" s="294"/>
      <c r="G58" s="294"/>
      <c r="H58" s="294"/>
      <c r="I58" s="294"/>
    </row>
    <row r="59" spans="1:10" ht="15.75">
      <c r="A59" s="15" t="s">
        <v>84</v>
      </c>
      <c r="B59" s="16" t="s">
        <v>85</v>
      </c>
      <c r="C59" s="17" t="s">
        <v>86</v>
      </c>
      <c r="D59" s="57">
        <v>6223</v>
      </c>
      <c r="E59" s="57">
        <v>5711</v>
      </c>
      <c r="F59" s="28">
        <f>ROUND(E59/D59*100,1)</f>
        <v>91.8</v>
      </c>
      <c r="G59" s="28">
        <f>E59-D59</f>
        <v>-512</v>
      </c>
      <c r="H59" s="57">
        <v>6140</v>
      </c>
      <c r="I59" s="28">
        <f t="shared" ref="I59:I64" si="7">IF(H59&gt;0,ROUND(E59/H59*100,1),0)</f>
        <v>93</v>
      </c>
      <c r="J59" t="s">
        <v>87</v>
      </c>
    </row>
    <row r="60" spans="1:10" ht="31.5" hidden="1" outlineLevel="1">
      <c r="A60" s="15" t="s">
        <v>88</v>
      </c>
      <c r="B60" s="16" t="s">
        <v>89</v>
      </c>
      <c r="C60" s="17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7"/>
        <v>0</v>
      </c>
    </row>
    <row r="61" spans="1:10" ht="15.75" collapsed="1">
      <c r="A61" s="15" t="s">
        <v>91</v>
      </c>
      <c r="B61" s="16" t="s">
        <v>92</v>
      </c>
      <c r="C61" s="17" t="s">
        <v>37</v>
      </c>
      <c r="D61" s="33">
        <v>136154.79999999999</v>
      </c>
      <c r="E61" s="33">
        <v>133786.20000000001</v>
      </c>
      <c r="F61" s="28">
        <f>ROUND(E61/D61*100,1)</f>
        <v>98.3</v>
      </c>
      <c r="G61" s="28">
        <f>E61-D61</f>
        <v>-2368.5999999999767</v>
      </c>
      <c r="H61" s="33">
        <v>124963.6</v>
      </c>
      <c r="I61" s="28">
        <f t="shared" si="7"/>
        <v>107.1</v>
      </c>
      <c r="J61" t="s">
        <v>87</v>
      </c>
    </row>
    <row r="62" spans="1:10" ht="15.75">
      <c r="A62" s="15" t="s">
        <v>93</v>
      </c>
      <c r="B62" s="16" t="s">
        <v>94</v>
      </c>
      <c r="C62" s="17" t="s">
        <v>95</v>
      </c>
      <c r="D62" s="28">
        <f>D61/D59/6*1000</f>
        <v>3646.5477529594514</v>
      </c>
      <c r="E62" s="28">
        <v>3872.2</v>
      </c>
      <c r="F62" s="28">
        <f>ROUND(E62/D62*100,1)</f>
        <v>106.2</v>
      </c>
      <c r="G62" s="28">
        <f>E62-D62</f>
        <v>225.65224704054845</v>
      </c>
      <c r="H62" s="28">
        <v>3558.5</v>
      </c>
      <c r="I62" s="28">
        <f t="shared" si="7"/>
        <v>108.8</v>
      </c>
      <c r="J62" t="s">
        <v>87</v>
      </c>
    </row>
    <row r="63" spans="1:10" ht="15.75">
      <c r="A63" s="15" t="s">
        <v>96</v>
      </c>
      <c r="B63" s="16" t="s">
        <v>97</v>
      </c>
      <c r="C63" s="17" t="s">
        <v>37</v>
      </c>
      <c r="D63" s="18"/>
      <c r="E63" s="18" t="e">
        <f>#REF!</f>
        <v>#REF!</v>
      </c>
      <c r="F63" s="28"/>
      <c r="G63" s="18"/>
      <c r="H63" s="18">
        <v>2030114</v>
      </c>
      <c r="I63" s="18" t="e">
        <f t="shared" si="7"/>
        <v>#REF!</v>
      </c>
      <c r="J63" t="s">
        <v>58</v>
      </c>
    </row>
    <row r="64" spans="1:10" ht="15.75" hidden="1" outlineLevel="1">
      <c r="A64" s="15" t="s">
        <v>98</v>
      </c>
      <c r="B64" s="16" t="s">
        <v>99</v>
      </c>
      <c r="C64" s="17" t="s">
        <v>37</v>
      </c>
      <c r="D64" s="58"/>
      <c r="E64" s="58"/>
      <c r="F64" s="59"/>
      <c r="G64" s="58"/>
      <c r="H64" s="58"/>
      <c r="I64" s="59">
        <f t="shared" si="7"/>
        <v>0</v>
      </c>
      <c r="J64" s="31"/>
    </row>
    <row r="65" spans="1:13" ht="15.75" collapsed="1">
      <c r="A65" s="15" t="s">
        <v>100</v>
      </c>
      <c r="B65" s="16" t="s">
        <v>101</v>
      </c>
      <c r="C65" s="17" t="s">
        <v>102</v>
      </c>
      <c r="D65" s="60">
        <v>142271.28</v>
      </c>
      <c r="E65" s="60">
        <v>131998.67000000001</v>
      </c>
      <c r="F65" s="28">
        <f>ROUND(E65/D65*100,1)</f>
        <v>92.8</v>
      </c>
      <c r="G65" s="28">
        <f>E65-D65</f>
        <v>-10272.609999999986</v>
      </c>
      <c r="H65" s="60">
        <v>156089.10999999999</v>
      </c>
      <c r="I65" s="28">
        <f>ROUND(E65/H65*100,1)</f>
        <v>84.6</v>
      </c>
      <c r="J65" t="s">
        <v>103</v>
      </c>
    </row>
    <row r="66" spans="1:13" ht="15.75" hidden="1" outlineLevel="1">
      <c r="A66" s="15"/>
      <c r="B66" s="15" t="s">
        <v>12</v>
      </c>
      <c r="C66" s="17"/>
      <c r="D66" s="53"/>
      <c r="E66" s="53"/>
      <c r="F66" s="53"/>
      <c r="G66" s="53"/>
      <c r="H66" s="53"/>
      <c r="I66" s="53"/>
    </row>
    <row r="67" spans="1:13" ht="15.75" hidden="1" outlineLevel="1">
      <c r="A67" s="15"/>
      <c r="B67" s="16" t="s">
        <v>104</v>
      </c>
      <c r="C67" s="17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15"/>
      <c r="B68" s="16" t="s">
        <v>105</v>
      </c>
      <c r="C68" s="17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94" t="s">
        <v>106</v>
      </c>
      <c r="B69" s="294"/>
      <c r="C69" s="294"/>
      <c r="D69" s="294"/>
      <c r="E69" s="294"/>
      <c r="F69" s="294"/>
      <c r="G69" s="294"/>
      <c r="H69" s="294"/>
      <c r="I69" s="294"/>
    </row>
    <row r="70" spans="1:13" ht="15.75">
      <c r="A70" s="15" t="s">
        <v>107</v>
      </c>
      <c r="B70" s="16" t="s">
        <v>108</v>
      </c>
      <c r="C70" s="17" t="s">
        <v>37</v>
      </c>
      <c r="D70" s="28">
        <v>504289.38199999998</v>
      </c>
      <c r="E70" s="18">
        <f>433264.57</f>
        <v>433264.57</v>
      </c>
      <c r="F70" s="18">
        <f t="shared" ref="F70:F96" si="8">ROUND(E70/D70*100,1)</f>
        <v>85.9</v>
      </c>
      <c r="G70" s="18">
        <f t="shared" ref="G70:G96" si="9">E70-D70</f>
        <v>-71024.811999999976</v>
      </c>
      <c r="H70" s="18">
        <v>609277.30000000005</v>
      </c>
      <c r="I70" s="18">
        <f t="shared" ref="I70:I85" si="10">ROUND(E70/H70*100,1)</f>
        <v>71.099999999999994</v>
      </c>
      <c r="J70" t="s">
        <v>103</v>
      </c>
      <c r="M70">
        <f>1759313-152984-76292-1017231</f>
        <v>512806</v>
      </c>
    </row>
    <row r="71" spans="1:13" ht="15.75">
      <c r="A71" s="15" t="s">
        <v>109</v>
      </c>
      <c r="B71" s="16" t="s">
        <v>110</v>
      </c>
      <c r="C71" s="17" t="s">
        <v>37</v>
      </c>
      <c r="D71" s="28">
        <v>359155.94539499999</v>
      </c>
      <c r="E71" s="18">
        <f>293570.237</f>
        <v>293570.23700000002</v>
      </c>
      <c r="F71" s="18">
        <f t="shared" si="8"/>
        <v>81.7</v>
      </c>
      <c r="G71" s="18">
        <f t="shared" si="9"/>
        <v>-65585.708394999965</v>
      </c>
      <c r="H71" s="18">
        <v>383770.3</v>
      </c>
      <c r="I71" s="18">
        <f t="shared" si="10"/>
        <v>76.5</v>
      </c>
      <c r="J71" t="s">
        <v>103</v>
      </c>
    </row>
    <row r="72" spans="1:13" ht="15.75">
      <c r="A72" s="15" t="s">
        <v>111</v>
      </c>
      <c r="B72" s="16" t="s">
        <v>112</v>
      </c>
      <c r="C72" s="17" t="s">
        <v>37</v>
      </c>
      <c r="D72" s="33">
        <f>D70-D71</f>
        <v>145133.436605</v>
      </c>
      <c r="E72" s="33">
        <f>E70-E71</f>
        <v>139694.33299999998</v>
      </c>
      <c r="F72" s="34">
        <f t="shared" si="8"/>
        <v>96.3</v>
      </c>
      <c r="G72" s="18">
        <f t="shared" si="9"/>
        <v>-5439.1036050000112</v>
      </c>
      <c r="H72" s="34">
        <f>H70-H71</f>
        <v>225507.00000000006</v>
      </c>
      <c r="I72" s="34">
        <f t="shared" si="10"/>
        <v>61.9</v>
      </c>
      <c r="J72" t="s">
        <v>103</v>
      </c>
      <c r="M72" s="11">
        <f>D72-D73</f>
        <v>70468.332685000001</v>
      </c>
    </row>
    <row r="73" spans="1:13" ht="15.75">
      <c r="A73" s="15"/>
      <c r="B73" s="52" t="s">
        <v>113</v>
      </c>
      <c r="C73" s="17" t="s">
        <v>37</v>
      </c>
      <c r="D73" s="26">
        <f>D74+D75+D76</f>
        <v>74665.103919999994</v>
      </c>
      <c r="E73" s="6">
        <f>E74+E75+E76</f>
        <v>118737.01999999999</v>
      </c>
      <c r="F73" s="6">
        <f t="shared" si="8"/>
        <v>159</v>
      </c>
      <c r="G73" s="6">
        <f t="shared" si="9"/>
        <v>44071.916079999995</v>
      </c>
      <c r="H73" s="26">
        <f>H74+H75+H76</f>
        <v>89419.3</v>
      </c>
      <c r="I73" s="6">
        <f t="shared" si="10"/>
        <v>132.80000000000001</v>
      </c>
      <c r="J73" t="s">
        <v>103</v>
      </c>
      <c r="M73" s="11">
        <f>M72+D77</f>
        <v>70468.332685000001</v>
      </c>
    </row>
    <row r="74" spans="1:13" ht="15.75">
      <c r="A74" s="15"/>
      <c r="B74" s="61" t="s">
        <v>114</v>
      </c>
      <c r="C74" s="17" t="s">
        <v>37</v>
      </c>
      <c r="D74" s="28">
        <v>2957.5652800000003</v>
      </c>
      <c r="E74" s="34">
        <v>4593.6530000000002</v>
      </c>
      <c r="F74" s="34">
        <f t="shared" si="8"/>
        <v>155.30000000000001</v>
      </c>
      <c r="G74" s="18">
        <f t="shared" si="9"/>
        <v>1636.08772</v>
      </c>
      <c r="H74" s="34">
        <v>3615.2</v>
      </c>
      <c r="I74" s="34">
        <f t="shared" si="10"/>
        <v>127.1</v>
      </c>
      <c r="J74" t="s">
        <v>103</v>
      </c>
    </row>
    <row r="75" spans="1:13" ht="15.75">
      <c r="A75" s="15"/>
      <c r="B75" s="61" t="s">
        <v>115</v>
      </c>
      <c r="C75" s="17" t="s">
        <v>37</v>
      </c>
      <c r="D75" s="28">
        <v>28473.671839999999</v>
      </c>
      <c r="E75" s="18">
        <v>26714.364000000001</v>
      </c>
      <c r="F75" s="18">
        <f t="shared" si="8"/>
        <v>93.8</v>
      </c>
      <c r="G75" s="18">
        <f t="shared" si="9"/>
        <v>-1759.3078399999977</v>
      </c>
      <c r="H75" s="18">
        <v>25979.200000000001</v>
      </c>
      <c r="I75" s="18">
        <f t="shared" si="10"/>
        <v>102.8</v>
      </c>
      <c r="J75" t="s">
        <v>103</v>
      </c>
    </row>
    <row r="76" spans="1:13" ht="15.75">
      <c r="A76" s="15"/>
      <c r="B76" s="61" t="s">
        <v>116</v>
      </c>
      <c r="C76" s="17" t="s">
        <v>37</v>
      </c>
      <c r="D76" s="28">
        <v>43233.866799999996</v>
      </c>
      <c r="E76" s="18">
        <v>87429.002999999997</v>
      </c>
      <c r="F76" s="18">
        <f t="shared" si="8"/>
        <v>202.2</v>
      </c>
      <c r="G76" s="18">
        <f t="shared" si="9"/>
        <v>44195.136200000001</v>
      </c>
      <c r="H76" s="18">
        <v>59824.9</v>
      </c>
      <c r="I76" s="18">
        <f t="shared" si="10"/>
        <v>146.1</v>
      </c>
      <c r="J76" t="s">
        <v>103</v>
      </c>
    </row>
    <row r="77" spans="1:13" ht="15.75">
      <c r="A77" s="15"/>
      <c r="B77" s="16" t="s">
        <v>117</v>
      </c>
      <c r="C77" s="17" t="s">
        <v>37</v>
      </c>
      <c r="D77" s="28">
        <v>0</v>
      </c>
      <c r="E77" s="18">
        <v>8594.4650000000001</v>
      </c>
      <c r="F77" s="18"/>
      <c r="G77" s="18">
        <f t="shared" si="9"/>
        <v>8594.4650000000001</v>
      </c>
      <c r="H77" s="18">
        <v>0</v>
      </c>
      <c r="I77" s="18" t="e">
        <f t="shared" si="10"/>
        <v>#DIV/0!</v>
      </c>
      <c r="J77" t="s">
        <v>103</v>
      </c>
    </row>
    <row r="78" spans="1:13" ht="15.75">
      <c r="A78" s="15"/>
      <c r="B78" s="16" t="s">
        <v>118</v>
      </c>
      <c r="C78" s="17" t="s">
        <v>37</v>
      </c>
      <c r="D78" s="28">
        <v>69991.149999999994</v>
      </c>
      <c r="E78" s="18">
        <f>56518.781</f>
        <v>56518.781000000003</v>
      </c>
      <c r="F78" s="18">
        <f t="shared" si="8"/>
        <v>80.8</v>
      </c>
      <c r="G78" s="18">
        <f t="shared" si="9"/>
        <v>-13472.368999999992</v>
      </c>
      <c r="H78" s="18">
        <v>137043.4</v>
      </c>
      <c r="I78" s="18">
        <f t="shared" si="10"/>
        <v>41.2</v>
      </c>
      <c r="J78" t="s">
        <v>103</v>
      </c>
    </row>
    <row r="79" spans="1:13" ht="15.75" hidden="1" outlineLevel="1">
      <c r="A79" s="15"/>
      <c r="B79" s="16" t="s">
        <v>119</v>
      </c>
      <c r="C79" s="17" t="s">
        <v>37</v>
      </c>
      <c r="D79" s="33"/>
      <c r="E79" s="34"/>
      <c r="F79" s="18" t="e">
        <f t="shared" si="8"/>
        <v>#DIV/0!</v>
      </c>
      <c r="G79" s="18">
        <f t="shared" si="9"/>
        <v>0</v>
      </c>
      <c r="H79" s="58"/>
      <c r="I79" s="18" t="e">
        <f t="shared" si="10"/>
        <v>#DIV/0!</v>
      </c>
    </row>
    <row r="80" spans="1:13" ht="15.75" hidden="1" outlineLevel="1">
      <c r="A80" s="15"/>
      <c r="B80" s="16" t="s">
        <v>120</v>
      </c>
      <c r="C80" s="17" t="s">
        <v>37</v>
      </c>
      <c r="D80" s="33"/>
      <c r="E80" s="34"/>
      <c r="F80" s="18" t="e">
        <f t="shared" si="8"/>
        <v>#DIV/0!</v>
      </c>
      <c r="G80" s="18">
        <f t="shared" si="9"/>
        <v>0</v>
      </c>
      <c r="H80" s="58"/>
      <c r="I80" s="18" t="e">
        <f t="shared" si="10"/>
        <v>#DIV/0!</v>
      </c>
    </row>
    <row r="81" spans="1:10" ht="15.75" hidden="1" outlineLevel="1">
      <c r="A81" s="15"/>
      <c r="B81" s="16" t="s">
        <v>121</v>
      </c>
      <c r="C81" s="17" t="s">
        <v>37</v>
      </c>
      <c r="D81" s="33"/>
      <c r="E81" s="34"/>
      <c r="F81" s="18" t="e">
        <f t="shared" si="8"/>
        <v>#DIV/0!</v>
      </c>
      <c r="G81" s="18">
        <f t="shared" si="9"/>
        <v>0</v>
      </c>
      <c r="H81" s="58"/>
      <c r="I81" s="18" t="e">
        <f t="shared" si="10"/>
        <v>#DIV/0!</v>
      </c>
    </row>
    <row r="82" spans="1:10" ht="15.75" hidden="1" outlineLevel="1">
      <c r="A82" s="15"/>
      <c r="B82" s="16" t="s">
        <v>122</v>
      </c>
      <c r="C82" s="17" t="s">
        <v>37</v>
      </c>
      <c r="D82" s="33"/>
      <c r="E82" s="34"/>
      <c r="F82" s="18" t="e">
        <f t="shared" si="8"/>
        <v>#DIV/0!</v>
      </c>
      <c r="G82" s="18">
        <f t="shared" si="9"/>
        <v>0</v>
      </c>
      <c r="H82" s="58"/>
      <c r="I82" s="18" t="e">
        <f t="shared" si="10"/>
        <v>#DIV/0!</v>
      </c>
    </row>
    <row r="83" spans="1:10" ht="15.75" hidden="1" outlineLevel="1">
      <c r="A83" s="15"/>
      <c r="B83" s="16" t="s">
        <v>123</v>
      </c>
      <c r="C83" s="17" t="s">
        <v>37</v>
      </c>
      <c r="D83" s="33"/>
      <c r="E83" s="34"/>
      <c r="F83" s="18" t="e">
        <f t="shared" si="8"/>
        <v>#DIV/0!</v>
      </c>
      <c r="G83" s="18">
        <f t="shared" si="9"/>
        <v>0</v>
      </c>
      <c r="H83" s="58"/>
      <c r="I83" s="18" t="e">
        <f t="shared" si="10"/>
        <v>#DIV/0!</v>
      </c>
    </row>
    <row r="84" spans="1:10" ht="15.75" hidden="1" outlineLevel="1">
      <c r="A84" s="15"/>
      <c r="B84" s="16" t="s">
        <v>121</v>
      </c>
      <c r="C84" s="17" t="s">
        <v>37</v>
      </c>
      <c r="D84" s="33"/>
      <c r="E84" s="34"/>
      <c r="F84" s="18" t="e">
        <f t="shared" si="8"/>
        <v>#DIV/0!</v>
      </c>
      <c r="G84" s="18">
        <f t="shared" si="9"/>
        <v>0</v>
      </c>
      <c r="H84" s="58"/>
      <c r="I84" s="18" t="e">
        <f t="shared" si="10"/>
        <v>#DIV/0!</v>
      </c>
    </row>
    <row r="85" spans="1:10" ht="15.75" hidden="1" outlineLevel="1">
      <c r="A85" s="15"/>
      <c r="B85" s="16" t="s">
        <v>122</v>
      </c>
      <c r="C85" s="17" t="s">
        <v>37</v>
      </c>
      <c r="D85" s="33"/>
      <c r="E85" s="34"/>
      <c r="F85" s="18" t="e">
        <f t="shared" si="8"/>
        <v>#DIV/0!</v>
      </c>
      <c r="G85" s="18">
        <f t="shared" si="9"/>
        <v>0</v>
      </c>
      <c r="H85" s="58"/>
      <c r="I85" s="18" t="e">
        <f t="shared" si="10"/>
        <v>#DIV/0!</v>
      </c>
    </row>
    <row r="86" spans="1:10" ht="15.75" hidden="1" outlineLevel="1" collapsed="1">
      <c r="A86" s="15"/>
      <c r="B86" s="16" t="s">
        <v>124</v>
      </c>
      <c r="C86" s="17" t="s">
        <v>37</v>
      </c>
      <c r="D86" s="28"/>
      <c r="E86" s="34"/>
      <c r="F86" s="18" t="e">
        <f t="shared" si="8"/>
        <v>#DIV/0!</v>
      </c>
      <c r="G86" s="18">
        <f t="shared" si="9"/>
        <v>0</v>
      </c>
      <c r="H86" s="58"/>
      <c r="I86" s="18"/>
    </row>
    <row r="87" spans="1:10" ht="15.75" hidden="1" outlineLevel="1">
      <c r="A87" s="15"/>
      <c r="B87" s="16" t="s">
        <v>121</v>
      </c>
      <c r="C87" s="17" t="s">
        <v>37</v>
      </c>
      <c r="D87" s="28"/>
      <c r="E87" s="34"/>
      <c r="F87" s="18" t="e">
        <f t="shared" si="8"/>
        <v>#DIV/0!</v>
      </c>
      <c r="G87" s="18">
        <f t="shared" si="9"/>
        <v>0</v>
      </c>
      <c r="H87" s="58"/>
      <c r="I87" s="18" t="e">
        <f>ROUND(E87/H87*100,1)</f>
        <v>#DIV/0!</v>
      </c>
    </row>
    <row r="88" spans="1:10" ht="15.75" hidden="1" outlineLevel="1">
      <c r="A88" s="15"/>
      <c r="B88" s="16" t="s">
        <v>122</v>
      </c>
      <c r="C88" s="17" t="s">
        <v>37</v>
      </c>
      <c r="D88" s="33"/>
      <c r="E88" s="34"/>
      <c r="F88" s="18" t="e">
        <f t="shared" si="8"/>
        <v>#DIV/0!</v>
      </c>
      <c r="G88" s="18">
        <f t="shared" si="9"/>
        <v>0</v>
      </c>
      <c r="H88" s="58"/>
      <c r="I88" s="18"/>
    </row>
    <row r="89" spans="1:10" ht="15.75" collapsed="1">
      <c r="A89" s="15"/>
      <c r="B89" s="16" t="s">
        <v>125</v>
      </c>
      <c r="C89" s="17" t="s">
        <v>37</v>
      </c>
      <c r="D89" s="26">
        <f>D72-D73+D77-D78</f>
        <v>477.18268500000704</v>
      </c>
      <c r="E89" s="6">
        <f>E72-E73+E77-E78</f>
        <v>-26967.003000000008</v>
      </c>
      <c r="F89" s="6">
        <f t="shared" si="8"/>
        <v>-5651.3</v>
      </c>
      <c r="G89" s="6">
        <f t="shared" si="9"/>
        <v>-27444.185685000015</v>
      </c>
      <c r="H89" s="62">
        <f>H72-H73-H78</f>
        <v>-955.69999999992433</v>
      </c>
      <c r="I89" s="6">
        <f t="shared" ref="I89:I96" si="11">ROUND(E89/H89*100,1)</f>
        <v>2821.7</v>
      </c>
      <c r="J89" t="s">
        <v>103</v>
      </c>
    </row>
    <row r="90" spans="1:10" ht="17.25" customHeight="1">
      <c r="A90" s="15"/>
      <c r="B90" s="16" t="s">
        <v>126</v>
      </c>
      <c r="C90" s="17" t="s">
        <v>37</v>
      </c>
      <c r="D90" s="178" t="s">
        <v>73</v>
      </c>
      <c r="E90" s="18" t="s">
        <v>73</v>
      </c>
      <c r="F90" s="18" t="s">
        <v>73</v>
      </c>
      <c r="G90" s="18" t="s">
        <v>73</v>
      </c>
      <c r="H90" s="18"/>
      <c r="I90" s="18" t="s">
        <v>73</v>
      </c>
      <c r="J90" t="s">
        <v>103</v>
      </c>
    </row>
    <row r="91" spans="1:10" ht="17.25" hidden="1" customHeight="1" outlineLevel="1">
      <c r="A91" s="15"/>
      <c r="B91" s="16" t="s">
        <v>127</v>
      </c>
      <c r="C91" s="17" t="s">
        <v>37</v>
      </c>
      <c r="D91" s="28">
        <f>'[1]1 квартал'!$B$297/1000</f>
        <v>15.822778173897415</v>
      </c>
      <c r="E91" s="34"/>
      <c r="F91" s="18"/>
      <c r="G91" s="18">
        <f t="shared" si="9"/>
        <v>-15.822778173897415</v>
      </c>
      <c r="H91" s="34"/>
      <c r="I91" s="18"/>
    </row>
    <row r="92" spans="1:10" ht="15.75" collapsed="1">
      <c r="A92" s="15"/>
      <c r="B92" s="16" t="s">
        <v>128</v>
      </c>
      <c r="C92" s="17" t="s">
        <v>37</v>
      </c>
      <c r="D92" s="28">
        <f>D89</f>
        <v>477.18268500000704</v>
      </c>
      <c r="E92" s="34">
        <f>E89</f>
        <v>-26967.003000000008</v>
      </c>
      <c r="F92" s="18">
        <f t="shared" si="8"/>
        <v>-5651.3</v>
      </c>
      <c r="G92" s="18">
        <f t="shared" si="9"/>
        <v>-27444.185685000015</v>
      </c>
      <c r="H92" s="34">
        <f>H89</f>
        <v>-955.69999999992433</v>
      </c>
      <c r="I92" s="18"/>
      <c r="J92" t="s">
        <v>103</v>
      </c>
    </row>
    <row r="93" spans="1:10" ht="17.25" customHeight="1">
      <c r="A93" s="15"/>
      <c r="B93" s="16" t="s">
        <v>129</v>
      </c>
      <c r="C93" s="17" t="s">
        <v>37</v>
      </c>
      <c r="D93" s="33">
        <f>D92*15%</f>
        <v>71.577402750001056</v>
      </c>
      <c r="E93" s="34">
        <v>0</v>
      </c>
      <c r="F93" s="18">
        <f t="shared" si="8"/>
        <v>0</v>
      </c>
      <c r="G93" s="18">
        <f t="shared" si="9"/>
        <v>-71.577402750001056</v>
      </c>
      <c r="H93" s="34">
        <v>833.5</v>
      </c>
      <c r="I93" s="18"/>
      <c r="J93" t="s">
        <v>103</v>
      </c>
    </row>
    <row r="94" spans="1:10" ht="15.75" hidden="1" outlineLevel="1">
      <c r="A94" s="15"/>
      <c r="B94" s="16" t="s">
        <v>130</v>
      </c>
      <c r="C94" s="17" t="s">
        <v>37</v>
      </c>
      <c r="D94" s="33"/>
      <c r="E94" s="63"/>
      <c r="F94" s="18" t="e">
        <f t="shared" si="8"/>
        <v>#DIV/0!</v>
      </c>
      <c r="G94" s="18">
        <f t="shared" si="9"/>
        <v>0</v>
      </c>
      <c r="H94" s="63">
        <v>0</v>
      </c>
      <c r="I94" s="18" t="e">
        <f t="shared" si="11"/>
        <v>#DIV/0!</v>
      </c>
      <c r="J94" t="s">
        <v>103</v>
      </c>
    </row>
    <row r="95" spans="1:10" ht="15.75" hidden="1" outlineLevel="2">
      <c r="A95" s="15"/>
      <c r="B95" s="16" t="s">
        <v>131</v>
      </c>
      <c r="C95" s="17" t="s">
        <v>37</v>
      </c>
      <c r="D95" s="33"/>
      <c r="E95" s="34"/>
      <c r="F95" s="18" t="e">
        <f t="shared" si="8"/>
        <v>#DIV/0!</v>
      </c>
      <c r="G95" s="18">
        <f t="shared" si="9"/>
        <v>0</v>
      </c>
      <c r="H95" s="34"/>
      <c r="I95" s="18" t="e">
        <f t="shared" si="11"/>
        <v>#DIV/0!</v>
      </c>
    </row>
    <row r="96" spans="1:10" ht="15.75" collapsed="1">
      <c r="A96" s="15"/>
      <c r="B96" s="16" t="s">
        <v>132</v>
      </c>
      <c r="C96" s="17" t="s">
        <v>37</v>
      </c>
      <c r="D96" s="33">
        <f>D92-D93</f>
        <v>405.60528225000598</v>
      </c>
      <c r="E96" s="34">
        <f>E89-E93</f>
        <v>-26967.003000000008</v>
      </c>
      <c r="F96" s="18">
        <f t="shared" si="8"/>
        <v>-6648.6</v>
      </c>
      <c r="G96" s="18">
        <f t="shared" si="9"/>
        <v>-27372.608282250014</v>
      </c>
      <c r="H96" s="34">
        <f>H92-H93</f>
        <v>-1789.1999999999243</v>
      </c>
      <c r="I96" s="18">
        <f t="shared" si="11"/>
        <v>1507.2</v>
      </c>
      <c r="J96" t="s">
        <v>103</v>
      </c>
    </row>
    <row r="97" spans="1:12" ht="15.75" hidden="1" outlineLevel="1">
      <c r="A97" s="15"/>
      <c r="B97" s="64" t="s">
        <v>133</v>
      </c>
      <c r="C97" s="65"/>
      <c r="D97" s="66"/>
      <c r="E97" s="66"/>
      <c r="F97" s="66"/>
      <c r="G97" s="66"/>
      <c r="H97" s="23"/>
      <c r="I97" s="66"/>
    </row>
    <row r="98" spans="1:12" ht="15.75" hidden="1" outlineLevel="1">
      <c r="A98" s="15"/>
      <c r="B98" s="16" t="s">
        <v>134</v>
      </c>
      <c r="C98" s="17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15"/>
      <c r="B99" s="16" t="s">
        <v>135</v>
      </c>
      <c r="C99" s="17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67"/>
      <c r="B100" s="68" t="s">
        <v>119</v>
      </c>
      <c r="C100" s="69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15" t="s">
        <v>136</v>
      </c>
      <c r="B101" s="52" t="s">
        <v>137</v>
      </c>
      <c r="C101" s="17"/>
      <c r="D101" s="34"/>
      <c r="E101" s="34"/>
      <c r="F101" s="18"/>
      <c r="G101" s="18"/>
      <c r="H101" s="34"/>
      <c r="I101" s="18"/>
    </row>
    <row r="102" spans="1:12" ht="15.75">
      <c r="A102" s="15"/>
      <c r="B102" s="29" t="s">
        <v>138</v>
      </c>
      <c r="C102" s="17" t="s">
        <v>37</v>
      </c>
      <c r="D102" s="6">
        <f>D103+D106</f>
        <v>71.577402750001056</v>
      </c>
      <c r="E102" s="6">
        <f>E103+E106</f>
        <v>49333.7</v>
      </c>
      <c r="F102" s="6">
        <f>ROUND(E102/D102*100,1)</f>
        <v>68923.600000000006</v>
      </c>
      <c r="G102" s="6">
        <f>E102-D102</f>
        <v>49262.122597249996</v>
      </c>
      <c r="H102" s="6">
        <f>F102-E102</f>
        <v>19589.900000000009</v>
      </c>
      <c r="I102" s="6">
        <f>ROUND(E102/H102*100,1)</f>
        <v>251.8</v>
      </c>
      <c r="J102" s="11" t="s">
        <v>139</v>
      </c>
    </row>
    <row r="103" spans="1:12" ht="15.75">
      <c r="A103" s="15"/>
      <c r="B103" s="61" t="s">
        <v>140</v>
      </c>
      <c r="C103" s="17" t="s">
        <v>37</v>
      </c>
      <c r="D103" s="34">
        <f>D93</f>
        <v>71.577402750001056</v>
      </c>
      <c r="E103" s="34">
        <v>0</v>
      </c>
      <c r="F103" s="18">
        <f>ROUND(E103/D103*100,1)</f>
        <v>0</v>
      </c>
      <c r="G103" s="18">
        <f>E103-D103</f>
        <v>-71.577402750001056</v>
      </c>
      <c r="H103" s="34">
        <f>H93</f>
        <v>833.5</v>
      </c>
      <c r="I103" s="18"/>
      <c r="J103" s="11" t="s">
        <v>139</v>
      </c>
    </row>
    <row r="104" spans="1:12" ht="17.25" hidden="1" customHeight="1" outlineLevel="1">
      <c r="A104" s="15"/>
      <c r="B104" s="61" t="s">
        <v>141</v>
      </c>
      <c r="C104" s="17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15"/>
      <c r="B105" s="72" t="s">
        <v>142</v>
      </c>
      <c r="C105" s="17" t="s">
        <v>37</v>
      </c>
      <c r="D105" s="34"/>
      <c r="E105" s="34"/>
      <c r="F105" s="18"/>
      <c r="G105" s="34">
        <f t="shared" ref="G105:G113" si="12">E105-D105</f>
        <v>0</v>
      </c>
      <c r="H105" s="34">
        <v>0</v>
      </c>
      <c r="I105" s="18" t="e">
        <f>ROUND(E105/H105*100,1)</f>
        <v>#DIV/0!</v>
      </c>
      <c r="J105" s="11" t="s">
        <v>139</v>
      </c>
    </row>
    <row r="106" spans="1:12" ht="19.5" customHeight="1" collapsed="1">
      <c r="A106" s="15"/>
      <c r="B106" s="61" t="s">
        <v>143</v>
      </c>
      <c r="C106" s="17" t="s">
        <v>37</v>
      </c>
      <c r="D106" s="18"/>
      <c r="E106" s="18">
        <v>49333.7</v>
      </c>
      <c r="F106" s="18"/>
      <c r="G106" s="73">
        <f t="shared" si="12"/>
        <v>49333.7</v>
      </c>
      <c r="H106" s="18">
        <v>52198.2</v>
      </c>
      <c r="I106" s="18">
        <f>ROUND(E106/H106*100,1)</f>
        <v>94.5</v>
      </c>
      <c r="J106" s="11" t="s">
        <v>139</v>
      </c>
    </row>
    <row r="107" spans="1:12" ht="20.25" customHeight="1">
      <c r="A107" s="15"/>
      <c r="B107" s="74" t="s">
        <v>144</v>
      </c>
      <c r="C107" s="17" t="s">
        <v>37</v>
      </c>
      <c r="D107" s="6">
        <f>SUM(D108:D112)</f>
        <v>25491.145</v>
      </c>
      <c r="E107" s="6">
        <f>SUM(E108:E112)</f>
        <v>43835.398000000001</v>
      </c>
      <c r="F107" s="6">
        <f>ROUND(E107/D107*100,1)</f>
        <v>172</v>
      </c>
      <c r="G107" s="6">
        <f t="shared" si="12"/>
        <v>18344.253000000001</v>
      </c>
      <c r="H107" s="6">
        <v>42803.199999999997</v>
      </c>
      <c r="I107" s="6">
        <f>IF(H107&gt;0,ROUND(E107/H107*100,1),0)</f>
        <v>102.4</v>
      </c>
      <c r="J107" s="11" t="s">
        <v>139</v>
      </c>
    </row>
    <row r="108" spans="1:12" ht="15.75">
      <c r="A108" s="15"/>
      <c r="B108" s="75" t="s">
        <v>145</v>
      </c>
      <c r="C108" s="17" t="s">
        <v>37</v>
      </c>
      <c r="D108" s="34">
        <v>0</v>
      </c>
      <c r="E108" s="34">
        <v>19436.7</v>
      </c>
      <c r="F108" s="6">
        <v>0</v>
      </c>
      <c r="G108" s="6">
        <f t="shared" si="12"/>
        <v>19436.7</v>
      </c>
      <c r="H108" s="18">
        <v>19905.7</v>
      </c>
      <c r="I108" s="34"/>
    </row>
    <row r="109" spans="1:12" s="19" customFormat="1" ht="15.75">
      <c r="A109" s="15"/>
      <c r="B109" s="30" t="s">
        <v>146</v>
      </c>
      <c r="C109" s="17" t="s">
        <v>37</v>
      </c>
      <c r="D109" s="34">
        <f>('[9]РеалВсего (с ТДЦ)'!$C$211+'[9]РеалВсего (с ТДЦ)'!$D$211)/1000</f>
        <v>1576.8879999999999</v>
      </c>
      <c r="E109" s="34">
        <v>972.6</v>
      </c>
      <c r="F109" s="18">
        <f>ROUND(E109/D109*100,1)</f>
        <v>61.7</v>
      </c>
      <c r="G109" s="6">
        <f t="shared" si="12"/>
        <v>-604.2879999999999</v>
      </c>
      <c r="H109" s="34">
        <v>1260</v>
      </c>
      <c r="I109" s="34">
        <f>ROUND(E109/H109*100,1)</f>
        <v>77.2</v>
      </c>
      <c r="J109" s="11" t="s">
        <v>139</v>
      </c>
      <c r="K109"/>
      <c r="L109"/>
    </row>
    <row r="110" spans="1:12" ht="15.75">
      <c r="A110" s="15"/>
      <c r="B110" s="30" t="s">
        <v>147</v>
      </c>
      <c r="C110" s="17" t="s">
        <v>37</v>
      </c>
      <c r="D110" s="34">
        <f>('[9]РеалВсего (с ТДЦ)'!$C$212+'[9]РеалВсего (с ТДЦ)'!$D$212)/1000</f>
        <v>530.75699999999995</v>
      </c>
      <c r="E110" s="34">
        <v>436.7</v>
      </c>
      <c r="F110" s="18">
        <f>ROUND(E110/D110*100,1)</f>
        <v>82.3</v>
      </c>
      <c r="G110" s="6">
        <f t="shared" si="12"/>
        <v>-94.05699999999996</v>
      </c>
      <c r="H110" s="34">
        <v>445.4</v>
      </c>
      <c r="I110" s="34">
        <f>ROUND(E110/H110*100,1)</f>
        <v>98</v>
      </c>
      <c r="J110" s="11" t="s">
        <v>139</v>
      </c>
    </row>
    <row r="111" spans="1:12" ht="15.75">
      <c r="A111" s="15"/>
      <c r="B111" s="30" t="s">
        <v>148</v>
      </c>
      <c r="C111" s="17" t="s">
        <v>37</v>
      </c>
      <c r="D111" s="34">
        <f>('[9]РеалВсего (с ТДЦ)'!$C$213+'[9]РеалВсего (с ТДЦ)'!$D$213)/1000</f>
        <v>5000.53</v>
      </c>
      <c r="E111" s="34">
        <v>5215.6000000000004</v>
      </c>
      <c r="F111" s="18">
        <f>ROUND(E111/D111*100,1)</f>
        <v>104.3</v>
      </c>
      <c r="G111" s="6">
        <f t="shared" si="12"/>
        <v>215.07000000000062</v>
      </c>
      <c r="H111" s="34">
        <v>4419.8999999999996</v>
      </c>
      <c r="I111" s="34">
        <f>ROUND(E111/H111*100,1)</f>
        <v>118</v>
      </c>
      <c r="J111" s="11" t="s">
        <v>139</v>
      </c>
    </row>
    <row r="112" spans="1:12" ht="15.75">
      <c r="A112" s="15"/>
      <c r="B112" s="30" t="s">
        <v>149</v>
      </c>
      <c r="C112" s="17" t="s">
        <v>37</v>
      </c>
      <c r="D112" s="18">
        <f>('[9]РеалВсего (с ТДЦ)'!$C$210+'[9]РеалВсего (с ТДЦ)'!$D$210)/1000</f>
        <v>18382.97</v>
      </c>
      <c r="E112" s="34">
        <v>17773.797999999999</v>
      </c>
      <c r="F112" s="18">
        <f>ROUND(E112/D112*100,1)</f>
        <v>96.7</v>
      </c>
      <c r="G112" s="6">
        <f t="shared" si="12"/>
        <v>-609.1720000000023</v>
      </c>
      <c r="H112" s="34">
        <v>16772.2</v>
      </c>
      <c r="I112" s="34">
        <f>ROUND(E112/H112*100,1)</f>
        <v>106</v>
      </c>
      <c r="J112" s="11" t="s">
        <v>139</v>
      </c>
    </row>
    <row r="113" spans="1:13" ht="21" customHeight="1">
      <c r="A113" s="15"/>
      <c r="B113" s="76" t="s">
        <v>150</v>
      </c>
      <c r="C113" s="17" t="s">
        <v>37</v>
      </c>
      <c r="D113" s="6">
        <f>SUM(D115:D120)</f>
        <v>26179.663</v>
      </c>
      <c r="E113" s="6">
        <f>SUM(E115:E120)</f>
        <v>17418.3</v>
      </c>
      <c r="F113" s="6">
        <f>ROUND(E113/D113*100,1)</f>
        <v>66.5</v>
      </c>
      <c r="G113" s="6">
        <f t="shared" si="12"/>
        <v>-8761.3630000000012</v>
      </c>
      <c r="H113" s="6">
        <v>14996</v>
      </c>
      <c r="I113" s="6">
        <f>ROUND(E113/H113*100,1)</f>
        <v>116.2</v>
      </c>
      <c r="J113" s="11" t="s">
        <v>139</v>
      </c>
    </row>
    <row r="114" spans="1:13" ht="15.75">
      <c r="A114" s="15"/>
      <c r="B114" s="15" t="s">
        <v>12</v>
      </c>
      <c r="C114" s="17" t="s">
        <v>37</v>
      </c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15"/>
      <c r="B115" s="17" t="s">
        <v>151</v>
      </c>
      <c r="C115" s="17" t="s">
        <v>37</v>
      </c>
      <c r="D115" s="18"/>
      <c r="E115" s="18"/>
      <c r="F115" s="18"/>
      <c r="G115" s="18">
        <f t="shared" ref="G115:G121" si="13">E115-D115</f>
        <v>0</v>
      </c>
      <c r="H115" s="18"/>
      <c r="I115" s="18" t="e">
        <f t="shared" ref="I115:I121" si="14">ROUND(E115/H115*100,1)</f>
        <v>#DIV/0!</v>
      </c>
      <c r="J115" s="11" t="s">
        <v>139</v>
      </c>
    </row>
    <row r="116" spans="1:13" ht="30" hidden="1" customHeight="1" outlineLevel="1">
      <c r="A116" s="15"/>
      <c r="B116" s="30" t="s">
        <v>152</v>
      </c>
      <c r="C116" s="17" t="s">
        <v>37</v>
      </c>
      <c r="D116" s="18"/>
      <c r="E116" s="18"/>
      <c r="F116" s="18"/>
      <c r="G116" s="18">
        <f t="shared" si="13"/>
        <v>0</v>
      </c>
      <c r="H116" s="18"/>
      <c r="I116" s="18" t="e">
        <f t="shared" si="14"/>
        <v>#DIV/0!</v>
      </c>
      <c r="J116" s="11" t="s">
        <v>139</v>
      </c>
    </row>
    <row r="117" spans="1:13" ht="15.75" collapsed="1">
      <c r="A117" s="15"/>
      <c r="B117" s="30" t="s">
        <v>204</v>
      </c>
      <c r="C117" s="17" t="s">
        <v>37</v>
      </c>
      <c r="D117" s="18">
        <v>13932.429</v>
      </c>
      <c r="E117" s="18">
        <v>16054.3</v>
      </c>
      <c r="F117" s="18">
        <f>ROUND(E117/D117*100,1)</f>
        <v>115.2</v>
      </c>
      <c r="G117" s="18">
        <f t="shared" si="13"/>
        <v>2121.8709999999992</v>
      </c>
      <c r="H117" s="18">
        <v>14996</v>
      </c>
      <c r="I117" s="18">
        <f t="shared" si="14"/>
        <v>107.1</v>
      </c>
      <c r="J117" s="11" t="s">
        <v>139</v>
      </c>
    </row>
    <row r="118" spans="1:13" ht="34.5" customHeight="1">
      <c r="A118" s="67"/>
      <c r="B118" s="30" t="s">
        <v>153</v>
      </c>
      <c r="C118" s="17" t="s">
        <v>37</v>
      </c>
      <c r="D118" s="18">
        <v>1354.85</v>
      </c>
      <c r="E118" s="35">
        <v>1364</v>
      </c>
      <c r="F118" s="18">
        <f>ROUND(E118/D118*100,1)</f>
        <v>100.7</v>
      </c>
      <c r="G118" s="35">
        <f t="shared" si="13"/>
        <v>9.1500000000000909</v>
      </c>
      <c r="H118" s="35"/>
      <c r="I118" s="18" t="e">
        <f t="shared" si="14"/>
        <v>#DIV/0!</v>
      </c>
      <c r="J118" s="11" t="s">
        <v>139</v>
      </c>
    </row>
    <row r="119" spans="1:13" ht="47.25" hidden="1" customHeight="1" outlineLevel="1">
      <c r="A119" s="15"/>
      <c r="B119" s="30" t="s">
        <v>154</v>
      </c>
      <c r="C119" s="17" t="s">
        <v>37</v>
      </c>
      <c r="D119" s="18"/>
      <c r="E119" s="18"/>
      <c r="F119" s="18" t="e">
        <f>ROUND(E119/D119*100,1)</f>
        <v>#DIV/0!</v>
      </c>
      <c r="G119" s="35">
        <f t="shared" si="13"/>
        <v>0</v>
      </c>
      <c r="H119" s="18"/>
      <c r="I119" s="18" t="e">
        <f t="shared" si="14"/>
        <v>#DIV/0!</v>
      </c>
      <c r="J119" s="11" t="s">
        <v>139</v>
      </c>
      <c r="M119">
        <f>15287.1+3820.2</f>
        <v>19107.3</v>
      </c>
    </row>
    <row r="120" spans="1:13" ht="36" hidden="1" customHeight="1" outlineLevel="1">
      <c r="A120" s="15"/>
      <c r="B120" s="30" t="s">
        <v>155</v>
      </c>
      <c r="C120" s="17" t="s">
        <v>37</v>
      </c>
      <c r="D120" s="18">
        <f>D61*8%</f>
        <v>10892.384</v>
      </c>
      <c r="E120" s="18"/>
      <c r="F120" s="18">
        <f>ROUND(E120/D120*100,1)</f>
        <v>0</v>
      </c>
      <c r="G120" s="18">
        <f t="shared" si="13"/>
        <v>-10892.384</v>
      </c>
      <c r="H120" s="18"/>
      <c r="I120" s="18" t="e">
        <f t="shared" si="14"/>
        <v>#DIV/0!</v>
      </c>
      <c r="J120" s="11" t="s">
        <v>139</v>
      </c>
    </row>
    <row r="121" spans="1:13" ht="15.75" collapsed="1">
      <c r="A121" s="15"/>
      <c r="B121" s="52" t="s">
        <v>156</v>
      </c>
      <c r="C121" s="17" t="s">
        <v>37</v>
      </c>
      <c r="D121" s="6">
        <f>D102+D113+D107</f>
        <v>51742.385402750006</v>
      </c>
      <c r="E121" s="6">
        <f>E102+E113+E107</f>
        <v>110587.398</v>
      </c>
      <c r="F121" s="6">
        <f>ROUND(E121/D121*100,1)</f>
        <v>213.7</v>
      </c>
      <c r="G121" s="6">
        <f t="shared" si="13"/>
        <v>58845.012597249995</v>
      </c>
      <c r="H121" s="6">
        <v>110830.9</v>
      </c>
      <c r="I121" s="6">
        <f t="shared" si="14"/>
        <v>99.8</v>
      </c>
      <c r="J121" s="11" t="s">
        <v>139</v>
      </c>
    </row>
    <row r="122" spans="1:13" ht="15.75">
      <c r="A122" s="15" t="s">
        <v>157</v>
      </c>
      <c r="B122" s="52" t="s">
        <v>158</v>
      </c>
      <c r="C122" s="17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/>
      <c r="I122" s="6" t="s">
        <v>73</v>
      </c>
    </row>
    <row r="123" spans="1:13" ht="27" customHeight="1">
      <c r="A123" s="15"/>
      <c r="B123" s="77" t="s">
        <v>159</v>
      </c>
      <c r="C123" s="17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15"/>
      <c r="B124" s="16" t="s">
        <v>160</v>
      </c>
      <c r="C124" s="17" t="s">
        <v>37</v>
      </c>
      <c r="D124" s="18"/>
      <c r="E124" s="18"/>
      <c r="F124" s="18"/>
      <c r="G124" s="18"/>
      <c r="H124" s="18" t="s">
        <v>73</v>
      </c>
      <c r="I124" s="18"/>
    </row>
    <row r="125" spans="1:13" ht="24" customHeight="1" collapsed="1">
      <c r="A125" s="15" t="s">
        <v>161</v>
      </c>
      <c r="B125" s="52" t="s">
        <v>162</v>
      </c>
      <c r="C125" s="17" t="s">
        <v>37</v>
      </c>
      <c r="D125" s="6">
        <f>SUM(D127:D130)</f>
        <v>359155.94539499999</v>
      </c>
      <c r="E125" s="6">
        <f>SUM(E127:E130)</f>
        <v>325754.37800000003</v>
      </c>
      <c r="F125" s="6">
        <f t="shared" ref="F125:F130" si="15">ROUND(E125/D125*100,1)</f>
        <v>90.7</v>
      </c>
      <c r="G125" s="6">
        <f t="shared" ref="G125:G151" si="16">E125-D125</f>
        <v>-33401.567394999962</v>
      </c>
      <c r="H125" s="37">
        <v>339619.84000000003</v>
      </c>
      <c r="I125" s="6">
        <f>ROUND(E125/H125*100,1)</f>
        <v>95.9</v>
      </c>
      <c r="J125" s="11" t="s">
        <v>139</v>
      </c>
      <c r="M125" s="11"/>
    </row>
    <row r="126" spans="1:13" ht="15.75">
      <c r="A126" s="15"/>
      <c r="B126" s="15" t="s">
        <v>163</v>
      </c>
      <c r="C126" s="17" t="s">
        <v>37</v>
      </c>
      <c r="D126" s="18"/>
      <c r="E126" s="18"/>
      <c r="F126" s="18"/>
      <c r="G126" s="18">
        <f t="shared" si="16"/>
        <v>0</v>
      </c>
      <c r="H126" s="18"/>
      <c r="I126" s="18"/>
      <c r="M126" s="11"/>
    </row>
    <row r="127" spans="1:13" ht="19.5" customHeight="1">
      <c r="A127" s="15"/>
      <c r="B127" s="61" t="s">
        <v>164</v>
      </c>
      <c r="C127" s="17" t="s">
        <v>37</v>
      </c>
      <c r="D127" s="18">
        <v>168481.79800000001</v>
      </c>
      <c r="E127" s="18">
        <v>137194.42199999999</v>
      </c>
      <c r="F127" s="18">
        <f t="shared" si="15"/>
        <v>81.400000000000006</v>
      </c>
      <c r="G127" s="18">
        <f t="shared" si="16"/>
        <v>-31287.376000000018</v>
      </c>
      <c r="H127" s="18">
        <v>154578.6</v>
      </c>
      <c r="I127" s="18">
        <f>ROUND(E127/H127*100,1)</f>
        <v>88.8</v>
      </c>
      <c r="J127" s="11" t="s">
        <v>139</v>
      </c>
    </row>
    <row r="128" spans="1:13" ht="18" customHeight="1">
      <c r="A128" s="15"/>
      <c r="B128" s="61" t="s">
        <v>165</v>
      </c>
      <c r="C128" s="17" t="s">
        <v>37</v>
      </c>
      <c r="D128" s="18">
        <v>111471.909</v>
      </c>
      <c r="E128" s="18">
        <f>94760.669+11371.179</f>
        <v>106131.848</v>
      </c>
      <c r="F128" s="18">
        <f t="shared" si="15"/>
        <v>95.2</v>
      </c>
      <c r="G128" s="18">
        <f t="shared" si="16"/>
        <v>-5340.0610000000015</v>
      </c>
      <c r="H128" s="18">
        <v>102302</v>
      </c>
      <c r="I128" s="18">
        <f>ROUND(E128/H128*100,1)</f>
        <v>103.7</v>
      </c>
      <c r="J128" s="11" t="s">
        <v>139</v>
      </c>
    </row>
    <row r="129" spans="1:13" ht="31.5">
      <c r="A129" s="15"/>
      <c r="B129" s="61" t="s">
        <v>166</v>
      </c>
      <c r="C129" s="17" t="s">
        <v>37</v>
      </c>
      <c r="D129" s="18">
        <v>69801.206000000006</v>
      </c>
      <c r="E129" s="18">
        <v>68486.963000000003</v>
      </c>
      <c r="F129" s="18">
        <f t="shared" si="15"/>
        <v>98.1</v>
      </c>
      <c r="G129" s="18">
        <f t="shared" si="16"/>
        <v>-1314.2430000000022</v>
      </c>
      <c r="H129" s="18">
        <v>69240.7</v>
      </c>
      <c r="I129" s="18">
        <f>ROUND(E129/H129*100,1)</f>
        <v>98.9</v>
      </c>
      <c r="J129" s="11" t="s">
        <v>139</v>
      </c>
    </row>
    <row r="130" spans="1:13" ht="15.75">
      <c r="A130" s="15"/>
      <c r="B130" s="61" t="s">
        <v>167</v>
      </c>
      <c r="C130" s="17" t="s">
        <v>37</v>
      </c>
      <c r="D130" s="18">
        <v>9401.0323950000002</v>
      </c>
      <c r="E130" s="18">
        <v>13941.145</v>
      </c>
      <c r="F130" s="18">
        <f t="shared" si="15"/>
        <v>148.30000000000001</v>
      </c>
      <c r="G130" s="18">
        <f t="shared" si="16"/>
        <v>4540.1126050000003</v>
      </c>
      <c r="H130" s="18">
        <v>13498.5</v>
      </c>
      <c r="I130" s="18">
        <f>ROUND(E130/H130*100,1)</f>
        <v>103.3</v>
      </c>
      <c r="J130" s="11" t="s">
        <v>139</v>
      </c>
    </row>
    <row r="131" spans="1:13" ht="23.25" customHeight="1">
      <c r="A131" s="17" t="s">
        <v>168</v>
      </c>
      <c r="B131" s="78" t="s">
        <v>169</v>
      </c>
      <c r="C131" s="17" t="s">
        <v>37</v>
      </c>
      <c r="D131" s="18"/>
      <c r="E131" s="208" t="e">
        <f>#REF!</f>
        <v>#REF!</v>
      </c>
      <c r="F131" s="6"/>
      <c r="G131" s="6" t="e">
        <f>E131-D131</f>
        <v>#REF!</v>
      </c>
      <c r="H131" s="6">
        <v>2476076</v>
      </c>
      <c r="I131" s="6" t="e">
        <f>IF(H131&gt;0,ROUND(E131/H131*100,1),0)</f>
        <v>#REF!</v>
      </c>
      <c r="K131" t="s">
        <v>170</v>
      </c>
    </row>
    <row r="132" spans="1:13" ht="15.75">
      <c r="A132" s="15"/>
      <c r="B132" s="15" t="s">
        <v>12</v>
      </c>
      <c r="C132" s="17" t="s">
        <v>37</v>
      </c>
      <c r="D132" s="18"/>
      <c r="E132" s="208" t="e">
        <f>#REF!</f>
        <v>#REF!</v>
      </c>
      <c r="F132" s="18"/>
      <c r="G132" s="18" t="e">
        <f t="shared" si="16"/>
        <v>#REF!</v>
      </c>
      <c r="H132" s="18"/>
      <c r="I132" s="18"/>
    </row>
    <row r="133" spans="1:13" ht="24.75" customHeight="1">
      <c r="A133" s="15"/>
      <c r="B133" s="29" t="s">
        <v>171</v>
      </c>
      <c r="C133" s="17" t="s">
        <v>37</v>
      </c>
      <c r="D133" s="34"/>
      <c r="E133" s="213" t="e">
        <f>#REF!</f>
        <v>#REF!</v>
      </c>
      <c r="F133" s="34"/>
      <c r="G133" s="34" t="e">
        <f t="shared" si="16"/>
        <v>#REF!</v>
      </c>
      <c r="H133" s="34">
        <v>1919054</v>
      </c>
      <c r="I133" s="34" t="e">
        <f>IF(H133&gt;0,ROUND(E133/H133*100,1),0)</f>
        <v>#REF!</v>
      </c>
      <c r="K133" t="s">
        <v>170</v>
      </c>
      <c r="L133" t="s">
        <v>170</v>
      </c>
      <c r="M133" t="s">
        <v>172</v>
      </c>
    </row>
    <row r="134" spans="1:13" ht="15.75">
      <c r="A134" s="15"/>
      <c r="B134" s="15" t="s">
        <v>163</v>
      </c>
      <c r="C134" s="17" t="s">
        <v>37</v>
      </c>
      <c r="D134" s="18"/>
      <c r="E134" s="213" t="e">
        <f>#REF!</f>
        <v>#REF!</v>
      </c>
      <c r="F134" s="18"/>
      <c r="G134" s="18" t="e">
        <f t="shared" si="16"/>
        <v>#REF!</v>
      </c>
      <c r="H134" s="18"/>
      <c r="I134" s="18"/>
    </row>
    <row r="135" spans="1:13" ht="15.75">
      <c r="A135" s="15"/>
      <c r="B135" s="61" t="s">
        <v>173</v>
      </c>
      <c r="C135" s="17" t="s">
        <v>37</v>
      </c>
      <c r="D135" s="18"/>
      <c r="E135" s="213" t="e">
        <f>#REF!</f>
        <v>#REF!</v>
      </c>
      <c r="F135" s="18"/>
      <c r="G135" s="18" t="e">
        <f t="shared" si="16"/>
        <v>#REF!</v>
      </c>
      <c r="H135" s="18">
        <v>2031354</v>
      </c>
      <c r="I135" s="18" t="e">
        <f>IF(H135&gt;0,ROUND(E135/H135*100,1),0)</f>
        <v>#REF!</v>
      </c>
      <c r="K135" t="s">
        <v>170</v>
      </c>
      <c r="L135" t="s">
        <v>170</v>
      </c>
      <c r="M135" t="s">
        <v>174</v>
      </c>
    </row>
    <row r="136" spans="1:13" ht="15.75">
      <c r="A136" s="15"/>
      <c r="B136" s="61" t="s">
        <v>175</v>
      </c>
      <c r="C136" s="17" t="s">
        <v>37</v>
      </c>
      <c r="D136" s="18"/>
      <c r="E136" s="213" t="e">
        <f>#REF!</f>
        <v>#REF!</v>
      </c>
      <c r="F136" s="18"/>
      <c r="G136" s="18" t="e">
        <f t="shared" si="16"/>
        <v>#REF!</v>
      </c>
      <c r="H136" s="18">
        <v>1322</v>
      </c>
      <c r="I136" s="18" t="e">
        <f>IF(H136&gt;0,ROUND(E136/H136*100,1),0)</f>
        <v>#REF!</v>
      </c>
      <c r="K136" t="s">
        <v>170</v>
      </c>
      <c r="L136" t="s">
        <v>170</v>
      </c>
      <c r="M136" t="s">
        <v>176</v>
      </c>
    </row>
    <row r="137" spans="1:13" ht="15.75">
      <c r="A137" s="15"/>
      <c r="B137" s="16" t="s">
        <v>177</v>
      </c>
      <c r="C137" s="17" t="s">
        <v>37</v>
      </c>
      <c r="D137" s="18"/>
      <c r="E137" s="213" t="e">
        <f>#REF!</f>
        <v>#REF!</v>
      </c>
      <c r="F137" s="18"/>
      <c r="G137" s="18" t="e">
        <f t="shared" si="16"/>
        <v>#REF!</v>
      </c>
      <c r="H137" s="18">
        <v>557022</v>
      </c>
      <c r="I137" s="18" t="e">
        <f>IF(H137&gt;0,ROUND(E137/H137*100,1),0)</f>
        <v>#REF!</v>
      </c>
      <c r="K137" t="s">
        <v>170</v>
      </c>
      <c r="L137" t="s">
        <v>170</v>
      </c>
      <c r="M137" t="s">
        <v>178</v>
      </c>
    </row>
    <row r="138" spans="1:13" ht="15.75">
      <c r="A138" s="15"/>
      <c r="B138" s="15" t="s">
        <v>52</v>
      </c>
      <c r="C138" s="17" t="s">
        <v>37</v>
      </c>
      <c r="D138" s="18"/>
      <c r="E138" s="213" t="e">
        <f>#REF!</f>
        <v>#REF!</v>
      </c>
      <c r="F138" s="18"/>
      <c r="G138" s="18" t="e">
        <f t="shared" si="16"/>
        <v>#REF!</v>
      </c>
      <c r="H138" s="18"/>
      <c r="I138" s="18"/>
      <c r="K138" t="s">
        <v>170</v>
      </c>
      <c r="L138" t="s">
        <v>170</v>
      </c>
    </row>
    <row r="139" spans="1:13" ht="20.25" customHeight="1">
      <c r="A139" s="79"/>
      <c r="B139" s="80" t="s">
        <v>179</v>
      </c>
      <c r="C139" s="17" t="s">
        <v>37</v>
      </c>
      <c r="D139" s="81"/>
      <c r="E139" s="213" t="e">
        <f>#REF!</f>
        <v>#REF!</v>
      </c>
      <c r="F139" s="18"/>
      <c r="G139" s="81" t="e">
        <f t="shared" si="16"/>
        <v>#REF!</v>
      </c>
      <c r="H139" s="81"/>
      <c r="I139" s="18">
        <f>IF(H139&gt;0,ROUND(E139/H139*100,1),0)</f>
        <v>0</v>
      </c>
      <c r="K139" t="s">
        <v>170</v>
      </c>
      <c r="L139" t="s">
        <v>170</v>
      </c>
      <c r="M139" t="s">
        <v>180</v>
      </c>
    </row>
    <row r="140" spans="1:13" ht="15.75">
      <c r="A140" s="15"/>
      <c r="B140" s="15" t="s">
        <v>163</v>
      </c>
      <c r="C140" s="17" t="s">
        <v>37</v>
      </c>
      <c r="D140" s="18"/>
      <c r="E140" s="213" t="e">
        <f>#REF!</f>
        <v>#REF!</v>
      </c>
      <c r="F140" s="18"/>
      <c r="G140" s="18" t="e">
        <f t="shared" si="16"/>
        <v>#REF!</v>
      </c>
      <c r="H140" s="18"/>
      <c r="I140" s="18"/>
      <c r="K140" t="s">
        <v>170</v>
      </c>
      <c r="L140" t="s">
        <v>170</v>
      </c>
    </row>
    <row r="141" spans="1:13" ht="20.25" customHeight="1">
      <c r="A141" s="15"/>
      <c r="B141" s="61" t="s">
        <v>181</v>
      </c>
      <c r="C141" s="17" t="s">
        <v>37</v>
      </c>
      <c r="D141" s="18"/>
      <c r="E141" s="213" t="e">
        <f>#REF!</f>
        <v>#REF!</v>
      </c>
      <c r="F141" s="18"/>
      <c r="G141" s="18" t="e">
        <f t="shared" si="16"/>
        <v>#REF!</v>
      </c>
      <c r="H141" s="18">
        <v>93733</v>
      </c>
      <c r="I141" s="18" t="e">
        <f>IF(H141&gt;0,ROUND(E141/H141*100,1),0)</f>
        <v>#REF!</v>
      </c>
      <c r="K141" t="s">
        <v>170</v>
      </c>
      <c r="L141" t="s">
        <v>170</v>
      </c>
      <c r="M141" t="s">
        <v>182</v>
      </c>
    </row>
    <row r="142" spans="1:13" ht="15.75">
      <c r="A142" s="15"/>
      <c r="B142" s="61" t="s">
        <v>183</v>
      </c>
      <c r="C142" s="17" t="s">
        <v>37</v>
      </c>
      <c r="D142" s="18"/>
      <c r="E142" s="213" t="e">
        <f>#REF!</f>
        <v>#REF!</v>
      </c>
      <c r="F142" s="18"/>
      <c r="G142" s="18" t="e">
        <f t="shared" si="16"/>
        <v>#REF!</v>
      </c>
      <c r="H142" s="18">
        <v>84046</v>
      </c>
      <c r="I142" s="18" t="e">
        <f>IF(H142&gt;0,ROUND(E142/H142*100,1),0)</f>
        <v>#REF!</v>
      </c>
      <c r="K142" t="s">
        <v>170</v>
      </c>
      <c r="L142" t="s">
        <v>170</v>
      </c>
      <c r="M142" t="s">
        <v>184</v>
      </c>
    </row>
    <row r="143" spans="1:13" ht="15.75">
      <c r="A143" s="15"/>
      <c r="B143" s="80" t="s">
        <v>185</v>
      </c>
      <c r="C143" s="17" t="s">
        <v>37</v>
      </c>
      <c r="D143" s="18"/>
      <c r="E143" s="213" t="e">
        <f>#REF!</f>
        <v>#REF!</v>
      </c>
      <c r="F143" s="18"/>
      <c r="G143" s="18" t="e">
        <f>E143-D143</f>
        <v>#REF!</v>
      </c>
      <c r="H143" s="18">
        <v>2612</v>
      </c>
      <c r="I143" s="18" t="e">
        <f>IF(H143&gt;0,ROUND(E143/H143*100,1),0)</f>
        <v>#REF!</v>
      </c>
      <c r="K143" t="s">
        <v>170</v>
      </c>
      <c r="L143" t="s">
        <v>170</v>
      </c>
      <c r="M143" t="s">
        <v>186</v>
      </c>
    </row>
    <row r="144" spans="1:13" ht="18" customHeight="1">
      <c r="A144" s="15"/>
      <c r="B144" s="15" t="s">
        <v>163</v>
      </c>
      <c r="C144" s="17" t="s">
        <v>37</v>
      </c>
      <c r="D144" s="18"/>
      <c r="E144" s="213" t="e">
        <f>#REF!</f>
        <v>#REF!</v>
      </c>
      <c r="F144" s="18"/>
      <c r="G144" s="18" t="e">
        <f t="shared" si="16"/>
        <v>#REF!</v>
      </c>
      <c r="H144" s="18"/>
      <c r="I144" s="18"/>
      <c r="K144" t="s">
        <v>170</v>
      </c>
      <c r="L144" t="s">
        <v>170</v>
      </c>
    </row>
    <row r="145" spans="1:12" ht="15.75">
      <c r="A145" s="15"/>
      <c r="B145" s="30" t="s">
        <v>187</v>
      </c>
      <c r="C145" s="17" t="s">
        <v>37</v>
      </c>
      <c r="D145" s="18"/>
      <c r="E145" s="213" t="e">
        <f>#REF!</f>
        <v>#REF!</v>
      </c>
      <c r="F145" s="18"/>
      <c r="G145" s="18" t="e">
        <f t="shared" si="16"/>
        <v>#REF!</v>
      </c>
      <c r="H145" s="18">
        <v>73.5</v>
      </c>
      <c r="I145" s="18" t="e">
        <f>IF(H145&gt;0,ROUND(E145/H145*100,1),0)</f>
        <v>#REF!</v>
      </c>
      <c r="K145" t="s">
        <v>170</v>
      </c>
    </row>
    <row r="146" spans="1:12" ht="18.75" hidden="1" customHeight="1" outlineLevel="1">
      <c r="A146" s="15" t="s">
        <v>188</v>
      </c>
      <c r="B146" s="16" t="s">
        <v>189</v>
      </c>
      <c r="C146" s="17" t="s">
        <v>37</v>
      </c>
      <c r="D146" s="18"/>
      <c r="E146" s="213" t="e">
        <f>#REF!</f>
        <v>#REF!</v>
      </c>
      <c r="F146" s="18"/>
      <c r="G146" s="18" t="e">
        <f>E146-D146</f>
        <v>#REF!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15">
        <v>30</v>
      </c>
      <c r="B147" s="16" t="s">
        <v>190</v>
      </c>
      <c r="C147" s="17" t="s">
        <v>37</v>
      </c>
      <c r="D147" s="18"/>
      <c r="E147" s="213" t="e">
        <f>#REF!</f>
        <v>#REF!</v>
      </c>
      <c r="F147" s="18"/>
      <c r="G147" s="18" t="e">
        <f>E147-D147</f>
        <v>#REF!</v>
      </c>
      <c r="H147" s="18">
        <v>206398</v>
      </c>
      <c r="I147" s="18" t="e">
        <f>ROUND(E147/H147*100,1)</f>
        <v>#REF!</v>
      </c>
      <c r="K147" t="s">
        <v>170</v>
      </c>
      <c r="L147" t="s">
        <v>191</v>
      </c>
    </row>
    <row r="148" spans="1:12" ht="15.75" hidden="1" outlineLevel="1">
      <c r="A148" s="15"/>
      <c r="B148" s="15" t="s">
        <v>12</v>
      </c>
      <c r="C148" s="17" t="s">
        <v>37</v>
      </c>
      <c r="D148" s="18"/>
      <c r="E148" s="213" t="e">
        <f>#REF!</f>
        <v>#REF!</v>
      </c>
      <c r="F148" s="18"/>
      <c r="G148" s="18" t="e">
        <f t="shared" si="16"/>
        <v>#REF!</v>
      </c>
      <c r="H148" s="18"/>
      <c r="I148" s="18"/>
      <c r="K148" t="s">
        <v>170</v>
      </c>
    </row>
    <row r="149" spans="1:12" ht="15.75" hidden="1" outlineLevel="1">
      <c r="A149" s="15"/>
      <c r="B149" s="16" t="s">
        <v>192</v>
      </c>
      <c r="C149" s="17" t="s">
        <v>37</v>
      </c>
      <c r="D149" s="18"/>
      <c r="E149" s="213" t="e">
        <f>#REF!</f>
        <v>#REF!</v>
      </c>
      <c r="F149" s="18"/>
      <c r="G149" s="18" t="e">
        <f t="shared" si="16"/>
        <v>#REF!</v>
      </c>
      <c r="H149" s="18"/>
      <c r="I149" s="18"/>
      <c r="K149" t="s">
        <v>170</v>
      </c>
    </row>
    <row r="150" spans="1:12" ht="15.75" hidden="1" outlineLevel="1">
      <c r="A150" s="15"/>
      <c r="B150" s="16" t="s">
        <v>193</v>
      </c>
      <c r="C150" s="17" t="s">
        <v>37</v>
      </c>
      <c r="D150" s="18"/>
      <c r="E150" s="213" t="e">
        <f>#REF!</f>
        <v>#REF!</v>
      </c>
      <c r="F150" s="18"/>
      <c r="G150" s="18" t="e">
        <f t="shared" si="16"/>
        <v>#REF!</v>
      </c>
      <c r="H150" s="18"/>
      <c r="I150" s="18" t="e">
        <f>ROUND(E150/H150*100,1)</f>
        <v>#REF!</v>
      </c>
      <c r="K150" t="s">
        <v>170</v>
      </c>
    </row>
    <row r="151" spans="1:12" ht="15.75" collapsed="1">
      <c r="A151" s="15">
        <v>31</v>
      </c>
      <c r="B151" s="16" t="s">
        <v>194</v>
      </c>
      <c r="C151" s="17" t="s">
        <v>37</v>
      </c>
      <c r="D151" s="18"/>
      <c r="E151" s="213" t="e">
        <f>#REF!</f>
        <v>#REF!</v>
      </c>
      <c r="F151" s="18"/>
      <c r="G151" s="18" t="e">
        <f t="shared" si="16"/>
        <v>#REF!</v>
      </c>
      <c r="H151" s="18">
        <v>108706</v>
      </c>
      <c r="I151" s="18" t="e">
        <f>ROUND(E151/H151*100,1)</f>
        <v>#REF!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208" t="e">
        <f>#REF!</f>
        <v>#REF!</v>
      </c>
      <c r="F152" s="40"/>
      <c r="G152" s="40"/>
      <c r="H152" s="41">
        <v>198879</v>
      </c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208" t="e">
        <f>#REF!</f>
        <v>#REF!</v>
      </c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208" t="e">
        <f>#REF!</f>
        <v>#REF!</v>
      </c>
      <c r="F154" s="40"/>
      <c r="G154" s="40"/>
      <c r="H154" s="41"/>
      <c r="I154" s="40" t="e">
        <f>ROUND(E154/H154*100,1)</f>
        <v>#REF!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208" t="e">
        <f>#REF!</f>
        <v>#REF!</v>
      </c>
      <c r="F155" s="40"/>
      <c r="G155" s="40"/>
      <c r="H155" s="41"/>
      <c r="I155" s="40" t="e">
        <f>ROUND(E155/H155*100,1)</f>
        <v>#REF!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208" t="e">
        <f>#REF!</f>
        <v>#REF!</v>
      </c>
      <c r="F156" s="40"/>
      <c r="G156" s="40"/>
      <c r="H156" s="41"/>
      <c r="I156" s="40" t="e">
        <f>ROUND(E156/H156*100,1)</f>
        <v>#REF!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208" t="e">
        <f>#REF!</f>
        <v>#REF!</v>
      </c>
      <c r="F157" s="40"/>
      <c r="G157" s="40"/>
      <c r="H157" s="41"/>
      <c r="I157" s="40" t="e">
        <f>ROUND(E157/H157*100,1)</f>
        <v>#REF!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208" t="e">
        <f>#REF!</f>
        <v>#REF!</v>
      </c>
      <c r="F158" s="40"/>
      <c r="G158" s="40"/>
      <c r="H158" s="41"/>
      <c r="I158" s="40" t="e">
        <f>ROUND(E158/H158*100,1)</f>
        <v>#REF!</v>
      </c>
    </row>
    <row r="159" spans="1:12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'[2]2019'!$G$164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'[3]2019'!B168</f>
        <v>Начальник ОЭАиП</v>
      </c>
      <c r="C166" s="46"/>
      <c r="D166" s="46"/>
      <c r="E166" s="46"/>
      <c r="F166" s="48"/>
      <c r="G166" s="46" t="s">
        <v>203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1:I1"/>
    <mergeCell ref="A2:A3"/>
    <mergeCell ref="B2:B3"/>
    <mergeCell ref="C2:C3"/>
    <mergeCell ref="D2:G2"/>
    <mergeCell ref="H2:H3"/>
    <mergeCell ref="I2:I3"/>
    <mergeCell ref="A4:I4"/>
    <mergeCell ref="A30:I30"/>
    <mergeCell ref="A47:I47"/>
    <mergeCell ref="A58:I58"/>
    <mergeCell ref="A69:I69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0"/>
  <sheetViews>
    <sheetView showZeros="0" view="pageBreakPreview" zoomScale="90" zoomScaleNormal="100" zoomScaleSheetLayoutView="90" workbookViewId="0">
      <pane ySplit="3" topLeftCell="A4" activePane="bottomLeft" state="frozen"/>
      <selection activeCell="S5" sqref="S5"/>
      <selection pane="bottomLeft" activeCell="C11" sqref="C11"/>
    </sheetView>
  </sheetViews>
  <sheetFormatPr defaultRowHeight="12.75" outlineLevelRow="2" outlineLevelCol="1"/>
  <cols>
    <col min="1" max="1" width="3.85546875" bestFit="1" customWidth="1"/>
    <col min="2" max="2" width="56.140625" customWidth="1"/>
    <col min="3" max="3" width="10" customWidth="1"/>
    <col min="4" max="4" width="11.85546875" customWidth="1"/>
    <col min="5" max="5" width="13.42578125" customWidth="1"/>
    <col min="6" max="6" width="9.7109375" customWidth="1"/>
    <col min="7" max="7" width="12" customWidth="1"/>
    <col min="8" max="8" width="13.28515625" customWidth="1"/>
    <col min="9" max="9" width="11.140625" customWidth="1"/>
    <col min="10" max="10" width="5.7109375" hidden="1" customWidth="1" outlineLevel="1"/>
    <col min="11" max="11" width="13.28515625" hidden="1" customWidth="1" outlineLevel="1"/>
    <col min="12" max="12" width="12.42578125" hidden="1" customWidth="1" outlineLevel="1"/>
    <col min="13" max="14" width="9.140625" hidden="1" customWidth="1" outlineLevel="1"/>
    <col min="15" max="15" width="9.140625" collapsed="1"/>
  </cols>
  <sheetData>
    <row r="1" spans="1:10" ht="48" customHeight="1">
      <c r="A1" s="282" t="s">
        <v>237</v>
      </c>
      <c r="B1" s="283"/>
      <c r="C1" s="283"/>
      <c r="D1" s="283"/>
      <c r="E1" s="283"/>
      <c r="F1" s="283"/>
      <c r="G1" s="283"/>
      <c r="H1" s="283"/>
      <c r="I1" s="284"/>
      <c r="J1" s="1"/>
    </row>
    <row r="2" spans="1:10" ht="17.25" customHeight="1">
      <c r="A2" s="285" t="s">
        <v>0</v>
      </c>
      <c r="B2" s="287" t="s">
        <v>1</v>
      </c>
      <c r="C2" s="287" t="s">
        <v>2</v>
      </c>
      <c r="D2" s="288" t="s">
        <v>236</v>
      </c>
      <c r="E2" s="289"/>
      <c r="F2" s="289"/>
      <c r="G2" s="289"/>
      <c r="H2" s="290" t="s">
        <v>235</v>
      </c>
      <c r="I2" s="288" t="s">
        <v>3</v>
      </c>
    </row>
    <row r="3" spans="1:10" ht="22.5" customHeight="1">
      <c r="A3" s="286"/>
      <c r="B3" s="287"/>
      <c r="C3" s="287"/>
      <c r="D3" s="187" t="s">
        <v>4</v>
      </c>
      <c r="E3" s="186" t="s">
        <v>5</v>
      </c>
      <c r="F3" s="186" t="s">
        <v>6</v>
      </c>
      <c r="G3" s="186" t="s">
        <v>7</v>
      </c>
      <c r="H3" s="290"/>
      <c r="I3" s="288"/>
    </row>
    <row r="4" spans="1:10" ht="14.25">
      <c r="A4" s="277" t="s">
        <v>8</v>
      </c>
      <c r="B4" s="277"/>
      <c r="C4" s="277"/>
      <c r="D4" s="277"/>
      <c r="E4" s="277"/>
      <c r="F4" s="277"/>
      <c r="G4" s="277"/>
      <c r="H4" s="277"/>
      <c r="I4" s="277"/>
    </row>
    <row r="5" spans="1:10" ht="15.75">
      <c r="A5" s="2" t="s">
        <v>9</v>
      </c>
      <c r="B5" s="3" t="s">
        <v>10</v>
      </c>
      <c r="C5" s="188" t="s">
        <v>11</v>
      </c>
      <c r="D5" s="5">
        <f>D7+D8+D9</f>
        <v>3403.665</v>
      </c>
      <c r="E5" s="5">
        <f>E7+E8+E9</f>
        <v>3435.107</v>
      </c>
      <c r="F5" s="5">
        <f>ROUND(E5/D5*100,1)</f>
        <v>100.9</v>
      </c>
      <c r="G5" s="5">
        <f>E5-D5</f>
        <v>31.442000000000007</v>
      </c>
      <c r="H5" s="6">
        <f>H7+H8+H9</f>
        <v>2442.5779999999995</v>
      </c>
      <c r="I5" s="6">
        <f>IF(H5&gt;0,ROUND(E5/H5*100,1),0)</f>
        <v>140.6</v>
      </c>
    </row>
    <row r="6" spans="1:10" ht="15.75" customHeight="1">
      <c r="A6" s="2"/>
      <c r="B6" s="2" t="s">
        <v>12</v>
      </c>
      <c r="C6" s="2"/>
      <c r="D6" s="34"/>
      <c r="E6" s="34"/>
      <c r="F6" s="34"/>
      <c r="G6" s="34"/>
      <c r="H6" s="18"/>
      <c r="I6" s="7"/>
    </row>
    <row r="7" spans="1:10" ht="15.75">
      <c r="A7" s="2"/>
      <c r="B7" s="8" t="s">
        <v>13</v>
      </c>
      <c r="C7" s="2" t="s">
        <v>11</v>
      </c>
      <c r="D7" s="34">
        <v>2807.22</v>
      </c>
      <c r="E7" s="34">
        <v>2911.424</v>
      </c>
      <c r="F7" s="34">
        <f>ROUND(E7/D7*100,1)</f>
        <v>103.7</v>
      </c>
      <c r="G7" s="34">
        <f>E7-D7</f>
        <v>104.20400000000018</v>
      </c>
      <c r="H7" s="34">
        <v>2130.62</v>
      </c>
      <c r="I7" s="9">
        <f>IF(H7&gt;0,ROUND(E7/H7*100,1),0)</f>
        <v>136.6</v>
      </c>
    </row>
    <row r="8" spans="1:10" ht="15.75">
      <c r="A8" s="2"/>
      <c r="B8" s="8" t="s">
        <v>14</v>
      </c>
      <c r="C8" s="2" t="s">
        <v>11</v>
      </c>
      <c r="D8" s="34">
        <v>44.52</v>
      </c>
      <c r="E8" s="34">
        <v>47.545999999999999</v>
      </c>
      <c r="F8" s="34">
        <f>ROUND(E8/D8*100,1)</f>
        <v>106.8</v>
      </c>
      <c r="G8" s="34">
        <f>E8-D8</f>
        <v>3.0259999999999962</v>
      </c>
      <c r="H8" s="34">
        <v>48.055</v>
      </c>
      <c r="I8" s="9">
        <f>IF(H8&gt;0,ROUND(E8/H8*100,1),0)</f>
        <v>98.9</v>
      </c>
    </row>
    <row r="9" spans="1:10" ht="15.75">
      <c r="A9" s="2"/>
      <c r="B9" s="8" t="s">
        <v>15</v>
      </c>
      <c r="C9" s="2" t="s">
        <v>11</v>
      </c>
      <c r="D9" s="34">
        <v>551.92499999999995</v>
      </c>
      <c r="E9" s="34">
        <v>476.137</v>
      </c>
      <c r="F9" s="34">
        <f>ROUND(E9/D9*100,1)</f>
        <v>86.3</v>
      </c>
      <c r="G9" s="34">
        <f>E9-D9</f>
        <v>-75.787999999999954</v>
      </c>
      <c r="H9" s="34">
        <v>263.90300000000002</v>
      </c>
      <c r="I9" s="9">
        <f>IF(H9&gt;0,ROUND(E9/H9*100,1),0)</f>
        <v>180.4</v>
      </c>
    </row>
    <row r="10" spans="1:10" ht="15.75">
      <c r="A10" s="2" t="s">
        <v>16</v>
      </c>
      <c r="B10" s="3" t="s">
        <v>17</v>
      </c>
      <c r="C10" s="185" t="s">
        <v>11</v>
      </c>
      <c r="D10" s="6">
        <f>D12+D13</f>
        <v>302.90780000000001</v>
      </c>
      <c r="E10" s="6">
        <f>E12+E13</f>
        <v>250.66200000000001</v>
      </c>
      <c r="F10" s="5">
        <f>ROUND(E10/D10*100,1)</f>
        <v>82.8</v>
      </c>
      <c r="G10" s="5">
        <f>E10-D10</f>
        <v>-52.245800000000003</v>
      </c>
      <c r="H10" s="6">
        <f>H12+H13</f>
        <v>240.65700000000001</v>
      </c>
      <c r="I10" s="10">
        <f>IF(H10&gt;0,ROUND(E10/H10*100,1),0)</f>
        <v>104.2</v>
      </c>
    </row>
    <row r="11" spans="1:10" ht="17.25" customHeight="1">
      <c r="A11" s="2"/>
      <c r="B11" s="2" t="s">
        <v>12</v>
      </c>
      <c r="C11" s="2"/>
      <c r="D11" s="34"/>
      <c r="E11" s="34"/>
      <c r="F11" s="34"/>
      <c r="G11" s="34"/>
      <c r="H11" s="18"/>
      <c r="I11" s="7"/>
    </row>
    <row r="12" spans="1:10" ht="15.75">
      <c r="A12" s="2"/>
      <c r="B12" s="8" t="s">
        <v>18</v>
      </c>
      <c r="C12" s="2" t="s">
        <v>11</v>
      </c>
      <c r="D12" s="34">
        <v>143.32980000000001</v>
      </c>
      <c r="E12" s="34">
        <f>145.062</f>
        <v>145.06200000000001</v>
      </c>
      <c r="F12" s="34">
        <f>ROUND(E12/D12*100,1)</f>
        <v>101.2</v>
      </c>
      <c r="G12" s="34">
        <f>E12-D12</f>
        <v>1.732200000000006</v>
      </c>
      <c r="H12" s="34">
        <v>122.75700000000001</v>
      </c>
      <c r="I12" s="9">
        <f t="shared" ref="I12:I13" si="0">IF(H12&gt;0,ROUND(E12/H12*100,1),0)</f>
        <v>118.2</v>
      </c>
    </row>
    <row r="13" spans="1:10" ht="15.75">
      <c r="A13" s="2"/>
      <c r="B13" s="8" t="s">
        <v>19</v>
      </c>
      <c r="C13" s="2" t="s">
        <v>11</v>
      </c>
      <c r="D13" s="34">
        <f>60.235+99.343</f>
        <v>159.578</v>
      </c>
      <c r="E13" s="34">
        <v>105.6</v>
      </c>
      <c r="F13" s="34">
        <f>ROUND(E13/D13*100,1)</f>
        <v>66.2</v>
      </c>
      <c r="G13" s="34">
        <f>E13-D13</f>
        <v>-53.978000000000009</v>
      </c>
      <c r="H13" s="34">
        <v>117.9</v>
      </c>
      <c r="I13" s="9">
        <f t="shared" si="0"/>
        <v>89.6</v>
      </c>
    </row>
    <row r="14" spans="1:10" ht="15.75">
      <c r="A14" s="2" t="s">
        <v>20</v>
      </c>
      <c r="B14" s="3" t="s">
        <v>21</v>
      </c>
      <c r="C14" s="188" t="s">
        <v>11</v>
      </c>
      <c r="D14" s="5">
        <f>D16+D17+D18</f>
        <v>3438.8470000000002</v>
      </c>
      <c r="E14" s="5">
        <f>E16+E17+E18</f>
        <v>3808.3650000000002</v>
      </c>
      <c r="F14" s="5">
        <f>ROUND(E14/D14*100,1)</f>
        <v>110.7</v>
      </c>
      <c r="G14" s="5">
        <f>E14-D14</f>
        <v>369.51800000000003</v>
      </c>
      <c r="H14" s="6">
        <f>H16+H17+H18</f>
        <v>2429.9270000000001</v>
      </c>
      <c r="I14" s="10">
        <f>IF(H14&gt;0,ROUND(E14/H14*100,1),0)</f>
        <v>156.69999999999999</v>
      </c>
      <c r="J14" t="s">
        <v>22</v>
      </c>
    </row>
    <row r="15" spans="1:10" ht="18" customHeight="1">
      <c r="A15" s="2"/>
      <c r="B15" s="2" t="s">
        <v>12</v>
      </c>
      <c r="C15" s="2"/>
      <c r="D15" s="34"/>
      <c r="E15" s="34"/>
      <c r="F15" s="34"/>
      <c r="G15" s="34"/>
      <c r="H15" s="18"/>
      <c r="I15" s="7"/>
    </row>
    <row r="16" spans="1:10" ht="15.75">
      <c r="A16" s="2"/>
      <c r="B16" s="8" t="s">
        <v>13</v>
      </c>
      <c r="C16" s="2" t="s">
        <v>11</v>
      </c>
      <c r="D16" s="34">
        <v>2837.489</v>
      </c>
      <c r="E16" s="34">
        <v>3304.2130000000002</v>
      </c>
      <c r="F16" s="34">
        <f>ROUND(E16/D16*100,1)</f>
        <v>116.4</v>
      </c>
      <c r="G16" s="34">
        <f>E16-D16</f>
        <v>466.72400000000016</v>
      </c>
      <c r="H16" s="34">
        <v>2173.3820000000001</v>
      </c>
      <c r="I16" s="9">
        <f>IF(H16&gt;0,ROUND(E16/H16*100,1),0)</f>
        <v>152</v>
      </c>
      <c r="J16" t="s">
        <v>22</v>
      </c>
    </row>
    <row r="17" spans="1:12" ht="15.75">
      <c r="A17" s="2"/>
      <c r="B17" s="8" t="s">
        <v>14</v>
      </c>
      <c r="C17" s="2" t="s">
        <v>11</v>
      </c>
      <c r="D17" s="34">
        <v>44.655000000000001</v>
      </c>
      <c r="E17" s="34">
        <v>47.631</v>
      </c>
      <c r="F17" s="34">
        <f>ROUND(E17/D17*100,1)</f>
        <v>106.7</v>
      </c>
      <c r="G17" s="34">
        <f>E17-D17</f>
        <v>2.9759999999999991</v>
      </c>
      <c r="H17" s="34">
        <v>37.54</v>
      </c>
      <c r="I17" s="9">
        <f>IF(H17&gt;0,ROUND(E17/H17*100,1),0)</f>
        <v>126.9</v>
      </c>
      <c r="J17" t="s">
        <v>22</v>
      </c>
    </row>
    <row r="18" spans="1:12" ht="15.75">
      <c r="A18" s="2"/>
      <c r="B18" s="8" t="s">
        <v>15</v>
      </c>
      <c r="C18" s="2" t="s">
        <v>11</v>
      </c>
      <c r="D18" s="34">
        <v>556.70299999999997</v>
      </c>
      <c r="E18" s="34">
        <v>456.52100000000002</v>
      </c>
      <c r="F18" s="34">
        <f>ROUND(E18/D18*100,1)</f>
        <v>82</v>
      </c>
      <c r="G18" s="34">
        <f>E18-D18</f>
        <v>-100.18199999999996</v>
      </c>
      <c r="H18" s="18">
        <v>219.005</v>
      </c>
      <c r="I18" s="9">
        <f>IF(H18&gt;0,ROUND(E18/H18*100,1),0)</f>
        <v>208.5</v>
      </c>
    </row>
    <row r="19" spans="1:12" ht="18.75">
      <c r="A19" s="2" t="s">
        <v>23</v>
      </c>
      <c r="B19" s="3" t="s">
        <v>24</v>
      </c>
      <c r="C19" s="188" t="s">
        <v>25</v>
      </c>
      <c r="D19" s="5">
        <f>D21+D22+D23+D24</f>
        <v>24378.146999999997</v>
      </c>
      <c r="E19" s="5">
        <f>E21+E22+E23+E24</f>
        <v>22354.164000000001</v>
      </c>
      <c r="F19" s="5">
        <f>ROUND(E19/D19*100,1)</f>
        <v>91.7</v>
      </c>
      <c r="G19" s="5">
        <f>E19-D19</f>
        <v>-2023.9829999999965</v>
      </c>
      <c r="H19" s="6">
        <f>H21+H22+H23+H24</f>
        <v>16412.764999999999</v>
      </c>
      <c r="I19" s="10">
        <f>IF(H19&gt;0,ROUND(E19/H19*100,1),0)</f>
        <v>136.19999999999999</v>
      </c>
      <c r="J19" t="s">
        <v>22</v>
      </c>
    </row>
    <row r="20" spans="1:12" ht="15.75">
      <c r="A20" s="2"/>
      <c r="B20" s="3" t="s">
        <v>26</v>
      </c>
      <c r="C20" s="2"/>
      <c r="D20" s="34"/>
      <c r="E20" s="34"/>
      <c r="F20" s="34"/>
      <c r="G20" s="34"/>
      <c r="H20" s="18"/>
      <c r="I20" s="7"/>
      <c r="L20" s="11"/>
    </row>
    <row r="21" spans="1:12" ht="18.75">
      <c r="A21" s="2"/>
      <c r="B21" s="8" t="s">
        <v>27</v>
      </c>
      <c r="C21" s="2" t="s">
        <v>28</v>
      </c>
      <c r="D21" s="34">
        <v>6293.5290000000005</v>
      </c>
      <c r="E21" s="34">
        <v>6196.9110000000001</v>
      </c>
      <c r="F21" s="34">
        <f>ROUND(E21/D21*100,1)</f>
        <v>98.5</v>
      </c>
      <c r="G21" s="34">
        <f t="shared" ref="G21:G31" si="1">E21-D21</f>
        <v>-96.618000000000393</v>
      </c>
      <c r="H21" s="34">
        <v>5647.7330000000002</v>
      </c>
      <c r="I21" s="9">
        <f t="shared" ref="I21:I28" si="2">IF(H21&gt;0,ROUND(E21/H21*100,1),0)</f>
        <v>109.7</v>
      </c>
      <c r="J21" t="s">
        <v>22</v>
      </c>
    </row>
    <row r="22" spans="1:12" ht="18.75">
      <c r="A22" s="2"/>
      <c r="B22" s="8" t="s">
        <v>29</v>
      </c>
      <c r="C22" s="2" t="s">
        <v>28</v>
      </c>
      <c r="D22" s="34">
        <v>18084.617999999999</v>
      </c>
      <c r="E22" s="34">
        <v>16157.253000000001</v>
      </c>
      <c r="F22" s="34">
        <f>ROUND(E22/D22*100,1)</f>
        <v>89.3</v>
      </c>
      <c r="G22" s="34">
        <f t="shared" si="1"/>
        <v>-1927.364999999998</v>
      </c>
      <c r="H22" s="34">
        <v>10655.572</v>
      </c>
      <c r="I22" s="9">
        <f t="shared" si="2"/>
        <v>151.6</v>
      </c>
      <c r="J22" t="s">
        <v>22</v>
      </c>
    </row>
    <row r="23" spans="1:12" ht="18.75" hidden="1" outlineLevel="1">
      <c r="A23" s="2"/>
      <c r="B23" s="8" t="s">
        <v>30</v>
      </c>
      <c r="C23" s="2" t="s">
        <v>28</v>
      </c>
      <c r="D23" s="34"/>
      <c r="E23" s="34"/>
      <c r="F23" s="34"/>
      <c r="G23" s="34">
        <f t="shared" si="1"/>
        <v>0</v>
      </c>
      <c r="H23" s="34"/>
      <c r="I23" s="9">
        <f t="shared" si="2"/>
        <v>0</v>
      </c>
      <c r="J23" t="s">
        <v>22</v>
      </c>
    </row>
    <row r="24" spans="1:12" ht="18.75" collapsed="1">
      <c r="A24" s="2"/>
      <c r="B24" s="8" t="s">
        <v>31</v>
      </c>
      <c r="C24" s="2" t="s">
        <v>28</v>
      </c>
      <c r="D24" s="195">
        <v>0</v>
      </c>
      <c r="E24" s="195">
        <v>0</v>
      </c>
      <c r="F24" s="34">
        <f>E24</f>
        <v>0</v>
      </c>
      <c r="G24" s="34">
        <v>0</v>
      </c>
      <c r="H24" s="34">
        <v>109.46</v>
      </c>
      <c r="I24" s="9">
        <v>0</v>
      </c>
      <c r="J24" t="s">
        <v>22</v>
      </c>
    </row>
    <row r="25" spans="1:12" ht="15.75">
      <c r="A25" s="2" t="s">
        <v>32</v>
      </c>
      <c r="B25" s="12" t="s">
        <v>33</v>
      </c>
      <c r="C25" s="13" t="s">
        <v>34</v>
      </c>
      <c r="D25" s="18">
        <v>778</v>
      </c>
      <c r="E25" s="18">
        <v>1063</v>
      </c>
      <c r="F25" s="18">
        <f t="shared" ref="F25:F29" si="3">ROUND(E25/D25*100,1)</f>
        <v>136.6</v>
      </c>
      <c r="G25" s="18">
        <f t="shared" si="1"/>
        <v>285</v>
      </c>
      <c r="H25" s="18">
        <v>1068.0999999999999</v>
      </c>
      <c r="I25" s="9">
        <f t="shared" si="2"/>
        <v>99.5</v>
      </c>
      <c r="J25" t="s">
        <v>22</v>
      </c>
    </row>
    <row r="26" spans="1:12" s="19" customFormat="1" ht="31.5">
      <c r="A26" s="15" t="s">
        <v>35</v>
      </c>
      <c r="B26" s="16" t="s">
        <v>36</v>
      </c>
      <c r="C26" s="17" t="s">
        <v>37</v>
      </c>
      <c r="D26" s="18">
        <v>620700.53300000005</v>
      </c>
      <c r="E26" s="18">
        <v>625694.348</v>
      </c>
      <c r="F26" s="18">
        <f t="shared" si="3"/>
        <v>100.8</v>
      </c>
      <c r="G26" s="18">
        <f t="shared" si="1"/>
        <v>4993.8149999999441</v>
      </c>
      <c r="H26" s="18">
        <v>450874.65100000001</v>
      </c>
      <c r="I26" s="18">
        <f t="shared" si="2"/>
        <v>138.80000000000001</v>
      </c>
      <c r="J26" t="s">
        <v>22</v>
      </c>
      <c r="K26"/>
    </row>
    <row r="27" spans="1:12" s="19" customFormat="1" ht="19.5" customHeight="1">
      <c r="A27" s="17" t="s">
        <v>38</v>
      </c>
      <c r="B27" s="20" t="s">
        <v>231</v>
      </c>
      <c r="C27" s="17" t="s">
        <v>37</v>
      </c>
      <c r="D27" s="18">
        <v>278.64699999999999</v>
      </c>
      <c r="E27" s="18">
        <v>147.72300000000001</v>
      </c>
      <c r="F27" s="18">
        <f t="shared" si="3"/>
        <v>53</v>
      </c>
      <c r="G27" s="18">
        <f>E27-D27</f>
        <v>-130.92399999999998</v>
      </c>
      <c r="H27" s="18">
        <v>107.95099999999999</v>
      </c>
      <c r="I27" s="18">
        <f t="shared" si="2"/>
        <v>136.80000000000001</v>
      </c>
      <c r="J27" t="s">
        <v>22</v>
      </c>
      <c r="K27"/>
    </row>
    <row r="28" spans="1:12" ht="31.5">
      <c r="A28" s="2" t="s">
        <v>39</v>
      </c>
      <c r="B28" s="12" t="s">
        <v>225</v>
      </c>
      <c r="C28" s="17" t="s">
        <v>37</v>
      </c>
      <c r="D28" s="18">
        <v>95604.6</v>
      </c>
      <c r="E28" s="18">
        <v>82862.956000000006</v>
      </c>
      <c r="F28" s="18">
        <f t="shared" si="3"/>
        <v>86.7</v>
      </c>
      <c r="G28" s="18">
        <f t="shared" si="1"/>
        <v>-12741.644</v>
      </c>
      <c r="H28" s="18">
        <v>2680.3780000000002</v>
      </c>
      <c r="I28" s="9">
        <f t="shared" si="2"/>
        <v>3091.5</v>
      </c>
      <c r="J28" t="s">
        <v>22</v>
      </c>
    </row>
    <row r="29" spans="1:12" ht="19.5" customHeight="1">
      <c r="A29" s="13" t="s">
        <v>41</v>
      </c>
      <c r="B29" s="21" t="s">
        <v>42</v>
      </c>
      <c r="C29" s="17" t="s">
        <v>37</v>
      </c>
      <c r="D29" s="18">
        <v>4980.3</v>
      </c>
      <c r="E29" s="18">
        <v>4903.2</v>
      </c>
      <c r="F29" s="18">
        <f t="shared" si="3"/>
        <v>98.5</v>
      </c>
      <c r="G29" s="18">
        <f t="shared" si="1"/>
        <v>-77.100000000000364</v>
      </c>
      <c r="H29" s="18">
        <v>4530.7</v>
      </c>
      <c r="I29" s="9">
        <f>IF(H29&gt;0,ROUND(E29/H29*100,1),0)</f>
        <v>108.2</v>
      </c>
      <c r="J29" t="s">
        <v>22</v>
      </c>
    </row>
    <row r="30" spans="1:12" ht="21.75" customHeight="1">
      <c r="A30" s="291" t="s">
        <v>43</v>
      </c>
      <c r="B30" s="292"/>
      <c r="C30" s="292"/>
      <c r="D30" s="292"/>
      <c r="E30" s="292"/>
      <c r="F30" s="292"/>
      <c r="G30" s="292"/>
      <c r="H30" s="292"/>
      <c r="I30" s="292"/>
    </row>
    <row r="31" spans="1:12" ht="32.25" hidden="1" customHeight="1" outlineLevel="1">
      <c r="A31" s="13" t="s">
        <v>44</v>
      </c>
      <c r="B31" s="17" t="s">
        <v>45</v>
      </c>
      <c r="C31" s="17" t="s">
        <v>37</v>
      </c>
      <c r="D31" s="22">
        <v>0</v>
      </c>
      <c r="E31" s="14"/>
      <c r="F31" s="23"/>
      <c r="G31" s="18">
        <f t="shared" si="1"/>
        <v>0</v>
      </c>
      <c r="H31" s="14">
        <v>495</v>
      </c>
      <c r="I31" s="18">
        <f>IF(H31&gt;0,ROUND(E31/H31*100,1),0)</f>
        <v>0</v>
      </c>
      <c r="J31" s="24" t="s">
        <v>46</v>
      </c>
    </row>
    <row r="32" spans="1:12" ht="15.75" collapsed="1">
      <c r="A32" s="2" t="s">
        <v>47</v>
      </c>
      <c r="B32" s="12" t="s">
        <v>48</v>
      </c>
      <c r="C32" s="17" t="s">
        <v>37</v>
      </c>
      <c r="D32" s="23"/>
      <c r="E32" s="23"/>
      <c r="F32" s="23"/>
      <c r="G32" s="25"/>
      <c r="H32" s="18"/>
      <c r="I32" s="18">
        <f>IF(H32&gt;0,ROUND(E32/H32*100,1),0)</f>
        <v>0</v>
      </c>
    </row>
    <row r="33" spans="1:14" ht="15.75">
      <c r="A33" s="2" t="s">
        <v>49</v>
      </c>
      <c r="B33" s="3" t="s">
        <v>50</v>
      </c>
      <c r="C33" s="17" t="s">
        <v>37</v>
      </c>
      <c r="D33" s="26">
        <f>D39+D38</f>
        <v>120238.34731110001</v>
      </c>
      <c r="E33" s="26">
        <f>E39+E37</f>
        <v>97048.214000000007</v>
      </c>
      <c r="F33" s="26">
        <f>F39</f>
        <v>96.5</v>
      </c>
      <c r="G33" s="26">
        <f>G39</f>
        <v>-3853.8630000000121</v>
      </c>
      <c r="H33" s="26">
        <f>H35+H39+H43+H44+H45</f>
        <v>-53593.800000000017</v>
      </c>
      <c r="I33" s="26">
        <f t="shared" ref="I33:N33" si="4">I35+I39</f>
        <v>97.2</v>
      </c>
      <c r="J33" s="26" t="e">
        <f t="shared" si="4"/>
        <v>#VALUE!</v>
      </c>
      <c r="K33" s="26">
        <f t="shared" si="4"/>
        <v>0</v>
      </c>
      <c r="L33" s="26">
        <f t="shared" si="4"/>
        <v>0</v>
      </c>
      <c r="M33" s="26">
        <f t="shared" si="4"/>
        <v>0</v>
      </c>
      <c r="N33" s="26">
        <f t="shared" si="4"/>
        <v>0</v>
      </c>
    </row>
    <row r="34" spans="1:14" ht="15.75">
      <c r="A34" s="15"/>
      <c r="B34" s="16" t="s">
        <v>52</v>
      </c>
      <c r="C34" s="17" t="s">
        <v>37</v>
      </c>
      <c r="D34" s="18" t="s">
        <v>73</v>
      </c>
      <c r="E34" s="18" t="s">
        <v>73</v>
      </c>
      <c r="F34" s="18" t="s">
        <v>73</v>
      </c>
      <c r="G34" s="18" t="s">
        <v>73</v>
      </c>
      <c r="H34" s="28"/>
      <c r="I34" s="28"/>
    </row>
    <row r="35" spans="1:14" ht="15.75">
      <c r="A35" s="15"/>
      <c r="B35" s="29" t="s">
        <v>53</v>
      </c>
      <c r="C35" s="17" t="s">
        <v>37</v>
      </c>
      <c r="D35" s="18">
        <f>D38</f>
        <v>11231.084311099998</v>
      </c>
      <c r="E35" s="18">
        <f>E37</f>
        <v>-8105.1859999999888</v>
      </c>
      <c r="F35" s="18" t="s">
        <v>73</v>
      </c>
      <c r="G35" s="18" t="s">
        <v>73</v>
      </c>
      <c r="H35" s="28">
        <f>H37+H38</f>
        <v>-161800.70000000001</v>
      </c>
      <c r="I35" s="28">
        <f>IF(H35&gt;0,ROUND(E35/H35*100,1),0)</f>
        <v>0</v>
      </c>
      <c r="J35" t="s">
        <v>51</v>
      </c>
    </row>
    <row r="36" spans="1:14" ht="15.75">
      <c r="A36" s="15"/>
      <c r="B36" s="29" t="s">
        <v>54</v>
      </c>
      <c r="C36" s="17" t="s">
        <v>37</v>
      </c>
      <c r="D36" s="18" t="s">
        <v>73</v>
      </c>
      <c r="E36" s="18" t="s">
        <v>73</v>
      </c>
      <c r="F36" s="18" t="s">
        <v>73</v>
      </c>
      <c r="G36" s="18" t="s">
        <v>73</v>
      </c>
      <c r="H36" s="28"/>
      <c r="I36" s="28"/>
    </row>
    <row r="37" spans="1:14" ht="15.75">
      <c r="A37" s="15"/>
      <c r="B37" s="30" t="s">
        <v>55</v>
      </c>
      <c r="C37" s="17" t="s">
        <v>37</v>
      </c>
      <c r="D37" s="18" t="s">
        <v>73</v>
      </c>
      <c r="E37" s="18">
        <f>E96</f>
        <v>-8105.1859999999888</v>
      </c>
      <c r="F37" s="18" t="s">
        <v>73</v>
      </c>
      <c r="G37" s="18" t="s">
        <v>73</v>
      </c>
      <c r="H37" s="28">
        <v>-161800.70000000001</v>
      </c>
      <c r="I37" s="28"/>
    </row>
    <row r="38" spans="1:14" ht="15.75">
      <c r="A38" s="15"/>
      <c r="B38" s="30" t="s">
        <v>56</v>
      </c>
      <c r="C38" s="17" t="s">
        <v>37</v>
      </c>
      <c r="D38" s="18">
        <f>D96</f>
        <v>11231.084311099998</v>
      </c>
      <c r="E38" s="18" t="s">
        <v>73</v>
      </c>
      <c r="F38" s="18" t="s">
        <v>73</v>
      </c>
      <c r="G38" s="18" t="s">
        <v>73</v>
      </c>
      <c r="H38" s="28"/>
      <c r="I38" s="28"/>
    </row>
    <row r="39" spans="1:14" ht="15.75">
      <c r="A39" s="15"/>
      <c r="B39" s="29" t="s">
        <v>57</v>
      </c>
      <c r="C39" s="17" t="s">
        <v>37</v>
      </c>
      <c r="D39" s="28">
        <f>D129</f>
        <v>109007.26300000001</v>
      </c>
      <c r="E39" s="28">
        <v>105153.4</v>
      </c>
      <c r="F39" s="28">
        <f t="shared" ref="F39" si="5">ROUND(E39/D39*100,1)</f>
        <v>96.5</v>
      </c>
      <c r="G39" s="27">
        <f t="shared" ref="G39:G42" si="6">E39-D39</f>
        <v>-3853.8630000000121</v>
      </c>
      <c r="H39" s="28">
        <v>108206.9</v>
      </c>
      <c r="I39" s="28">
        <f>IF(H39&gt;0,ROUND(E39/H39*100,1),0)</f>
        <v>97.2</v>
      </c>
      <c r="J39" t="s">
        <v>58</v>
      </c>
    </row>
    <row r="40" spans="1:14" ht="15.75">
      <c r="A40" s="15"/>
      <c r="B40" s="50" t="s">
        <v>59</v>
      </c>
      <c r="C40" s="17" t="s">
        <v>37</v>
      </c>
      <c r="D40" s="18" t="s">
        <v>73</v>
      </c>
      <c r="E40" s="18" t="s">
        <v>73</v>
      </c>
      <c r="F40" s="18" t="s">
        <v>73</v>
      </c>
      <c r="G40" s="18" t="s">
        <v>73</v>
      </c>
      <c r="H40" s="18" t="s">
        <v>73</v>
      </c>
      <c r="I40" s="18" t="s">
        <v>73</v>
      </c>
    </row>
    <row r="41" spans="1:14" ht="33.75" customHeight="1">
      <c r="A41" s="51"/>
      <c r="B41" s="50" t="s">
        <v>60</v>
      </c>
      <c r="C41" s="17" t="s">
        <v>37</v>
      </c>
      <c r="D41" s="18" t="s">
        <v>73</v>
      </c>
      <c r="E41" s="18" t="s">
        <v>73</v>
      </c>
      <c r="F41" s="18" t="s">
        <v>73</v>
      </c>
      <c r="G41" s="18" t="s">
        <v>73</v>
      </c>
      <c r="H41" s="18" t="s">
        <v>73</v>
      </c>
      <c r="I41" s="18" t="s">
        <v>73</v>
      </c>
      <c r="J41" t="s">
        <v>51</v>
      </c>
    </row>
    <row r="42" spans="1:14" ht="15.75" hidden="1" outlineLevel="1">
      <c r="A42" s="15"/>
      <c r="B42" s="29" t="s">
        <v>61</v>
      </c>
      <c r="C42" s="17" t="s">
        <v>37</v>
      </c>
      <c r="D42" s="18"/>
      <c r="E42" s="18"/>
      <c r="F42" s="23"/>
      <c r="G42" s="27">
        <f t="shared" si="6"/>
        <v>0</v>
      </c>
      <c r="H42" s="18"/>
      <c r="I42" s="18"/>
    </row>
    <row r="43" spans="1:14" ht="15.75" collapsed="1">
      <c r="A43" s="15"/>
      <c r="B43" s="50" t="s">
        <v>62</v>
      </c>
      <c r="C43" s="17" t="s">
        <v>37</v>
      </c>
      <c r="D43" s="18" t="s">
        <v>73</v>
      </c>
      <c r="E43" s="18" t="s">
        <v>73</v>
      </c>
      <c r="F43" s="18" t="s">
        <v>73</v>
      </c>
      <c r="G43" s="18" t="s">
        <v>73</v>
      </c>
      <c r="H43" s="18"/>
      <c r="I43" s="18" t="s">
        <v>73</v>
      </c>
    </row>
    <row r="44" spans="1:14" ht="15.75">
      <c r="A44" s="15"/>
      <c r="B44" s="50" t="s">
        <v>63</v>
      </c>
      <c r="C44" s="17" t="s">
        <v>37</v>
      </c>
      <c r="D44" s="18" t="s">
        <v>73</v>
      </c>
      <c r="E44" s="18" t="s">
        <v>73</v>
      </c>
      <c r="F44" s="18" t="s">
        <v>73</v>
      </c>
      <c r="G44" s="18" t="s">
        <v>73</v>
      </c>
      <c r="H44" s="18"/>
      <c r="I44" s="18" t="s">
        <v>73</v>
      </c>
    </row>
    <row r="45" spans="1:14" ht="15.75" customHeight="1">
      <c r="A45" s="15"/>
      <c r="B45" s="29" t="s">
        <v>64</v>
      </c>
      <c r="C45" s="17" t="s">
        <v>37</v>
      </c>
      <c r="D45" s="18" t="s">
        <v>73</v>
      </c>
      <c r="E45" s="18" t="s">
        <v>73</v>
      </c>
      <c r="F45" s="18" t="s">
        <v>73</v>
      </c>
      <c r="G45" s="18" t="s">
        <v>73</v>
      </c>
      <c r="H45" s="18"/>
      <c r="I45" s="18" t="s">
        <v>73</v>
      </c>
    </row>
    <row r="46" spans="1:14" ht="47.25" hidden="1" outlineLevel="1">
      <c r="A46" s="15"/>
      <c r="B46" s="16" t="s">
        <v>65</v>
      </c>
      <c r="C46" s="17" t="s">
        <v>37</v>
      </c>
      <c r="D46" s="23"/>
      <c r="E46" s="23"/>
      <c r="F46" s="23"/>
      <c r="G46" s="23">
        <f>E46-D46</f>
        <v>0</v>
      </c>
      <c r="H46" s="23"/>
      <c r="I46" s="23">
        <f>IF(H46&gt;0,ROUND(E46/H46*100,1),0)</f>
        <v>0</v>
      </c>
    </row>
    <row r="47" spans="1:14" ht="15.75" collapsed="1">
      <c r="A47" s="293" t="s">
        <v>66</v>
      </c>
      <c r="B47" s="293"/>
      <c r="C47" s="293"/>
      <c r="D47" s="293"/>
      <c r="E47" s="293"/>
      <c r="F47" s="293"/>
      <c r="G47" s="293"/>
      <c r="H47" s="293"/>
      <c r="I47" s="293"/>
    </row>
    <row r="48" spans="1:14" ht="15.75">
      <c r="A48" s="15" t="s">
        <v>67</v>
      </c>
      <c r="B48" s="52" t="s">
        <v>68</v>
      </c>
      <c r="C48" s="15"/>
      <c r="D48" s="34"/>
      <c r="E48" s="34"/>
      <c r="F48" s="34"/>
      <c r="G48" s="34"/>
      <c r="H48" s="34"/>
      <c r="I48" s="34"/>
    </row>
    <row r="49" spans="1:10" ht="15.75" hidden="1" outlineLevel="1">
      <c r="A49" s="15"/>
      <c r="B49" s="16" t="s">
        <v>69</v>
      </c>
      <c r="C49" s="17" t="s">
        <v>70</v>
      </c>
      <c r="D49" s="53" t="e">
        <f>D51+D52</f>
        <v>#VALUE!</v>
      </c>
      <c r="E49" s="53" t="e">
        <f>E51+E52</f>
        <v>#VALUE!</v>
      </c>
      <c r="F49" s="23" t="e">
        <f>IF(E49&gt;0,ROUND(E49/D49*100,1),0)</f>
        <v>#VALUE!</v>
      </c>
      <c r="G49" s="23" t="e">
        <f>E49-D49</f>
        <v>#VALUE!</v>
      </c>
      <c r="H49" s="53" t="e">
        <f>H51+H52</f>
        <v>#VALUE!</v>
      </c>
      <c r="I49" s="23" t="e">
        <f>IF(H49&gt;0,ROUND(E49/H49*100,1),0)</f>
        <v>#VALUE!</v>
      </c>
    </row>
    <row r="50" spans="1:10" ht="15.75" hidden="1" outlineLevel="1">
      <c r="A50" s="15"/>
      <c r="B50" s="15" t="s">
        <v>12</v>
      </c>
      <c r="C50" s="17"/>
      <c r="D50" s="53"/>
      <c r="E50" s="53"/>
      <c r="F50" s="53"/>
      <c r="G50" s="53"/>
      <c r="H50" s="53"/>
      <c r="I50" s="53"/>
    </row>
    <row r="51" spans="1:10" ht="15.75" collapsed="1">
      <c r="A51" s="15"/>
      <c r="B51" s="29" t="s">
        <v>71</v>
      </c>
      <c r="C51" s="17" t="s">
        <v>72</v>
      </c>
      <c r="D51" s="18" t="s">
        <v>73</v>
      </c>
      <c r="E51" s="18" t="s">
        <v>73</v>
      </c>
      <c r="F51" s="18" t="s">
        <v>73</v>
      </c>
      <c r="G51" s="18" t="s">
        <v>73</v>
      </c>
      <c r="H51" s="54" t="s">
        <v>73</v>
      </c>
      <c r="I51" s="18" t="s">
        <v>73</v>
      </c>
    </row>
    <row r="52" spans="1:10" ht="15.75" hidden="1" outlineLevel="1">
      <c r="A52" s="15"/>
      <c r="B52" s="16" t="s">
        <v>74</v>
      </c>
      <c r="C52" s="17" t="s">
        <v>70</v>
      </c>
      <c r="D52" s="53"/>
      <c r="E52" s="53"/>
      <c r="F52" s="23"/>
      <c r="G52" s="23"/>
      <c r="H52" s="53"/>
      <c r="I52" s="23">
        <f>IF(H52&gt;0,ROUND(E52/H52*100,1),0)</f>
        <v>0</v>
      </c>
    </row>
    <row r="53" spans="1:10" ht="15.75" hidden="1" outlineLevel="1">
      <c r="A53" s="15"/>
      <c r="B53" s="16" t="s">
        <v>75</v>
      </c>
      <c r="C53" s="17" t="s">
        <v>70</v>
      </c>
      <c r="D53" s="23"/>
      <c r="E53" s="23"/>
      <c r="F53" s="23"/>
      <c r="G53" s="23"/>
      <c r="H53" s="23"/>
      <c r="I53" s="23">
        <f>IF(H53&gt;0,ROUND(E53/H53*100,1),0)</f>
        <v>0</v>
      </c>
    </row>
    <row r="54" spans="1:10" ht="15.75" collapsed="1">
      <c r="A54" s="15" t="s">
        <v>76</v>
      </c>
      <c r="B54" s="52" t="s">
        <v>77</v>
      </c>
      <c r="C54" s="17"/>
      <c r="D54" s="53"/>
      <c r="E54" s="53"/>
      <c r="F54" s="53"/>
      <c r="G54" s="53"/>
      <c r="H54" s="53"/>
      <c r="I54" s="53"/>
    </row>
    <row r="55" spans="1:10" ht="15.75">
      <c r="A55" s="15"/>
      <c r="B55" s="29" t="s">
        <v>78</v>
      </c>
      <c r="C55" s="17" t="s">
        <v>79</v>
      </c>
      <c r="D55" s="18" t="s">
        <v>73</v>
      </c>
      <c r="E55" s="18" t="s">
        <v>73</v>
      </c>
      <c r="F55" s="18" t="s">
        <v>73</v>
      </c>
      <c r="G55" s="18" t="s">
        <v>73</v>
      </c>
      <c r="H55" s="18" t="s">
        <v>73</v>
      </c>
      <c r="I55" s="18" t="s">
        <v>73</v>
      </c>
    </row>
    <row r="56" spans="1:10" ht="15.75" hidden="1" outlineLevel="1">
      <c r="A56" s="15"/>
      <c r="B56" s="16" t="s">
        <v>80</v>
      </c>
      <c r="C56" s="17" t="s">
        <v>81</v>
      </c>
      <c r="D56" s="55"/>
      <c r="E56" s="53"/>
      <c r="F56" s="53"/>
      <c r="G56" s="53"/>
      <c r="H56" s="53"/>
      <c r="I56" s="53"/>
    </row>
    <row r="57" spans="1:10" ht="24.75" hidden="1" customHeight="1" outlineLevel="1">
      <c r="A57" s="15"/>
      <c r="B57" s="16" t="s">
        <v>82</v>
      </c>
      <c r="C57" s="17" t="s">
        <v>81</v>
      </c>
      <c r="D57" s="56">
        <v>0</v>
      </c>
      <c r="E57" s="56"/>
      <c r="F57" s="56"/>
      <c r="G57" s="56"/>
      <c r="H57" s="56"/>
      <c r="I57" s="56"/>
    </row>
    <row r="58" spans="1:10" ht="15.75" collapsed="1">
      <c r="A58" s="294" t="s">
        <v>83</v>
      </c>
      <c r="B58" s="294"/>
      <c r="C58" s="294"/>
      <c r="D58" s="294"/>
      <c r="E58" s="294"/>
      <c r="F58" s="294"/>
      <c r="G58" s="294"/>
      <c r="H58" s="294"/>
      <c r="I58" s="294"/>
    </row>
    <row r="59" spans="1:10" ht="15.75">
      <c r="A59" s="15" t="s">
        <v>84</v>
      </c>
      <c r="B59" s="16" t="s">
        <v>85</v>
      </c>
      <c r="C59" s="17" t="s">
        <v>86</v>
      </c>
      <c r="D59" s="28">
        <v>6243</v>
      </c>
      <c r="E59" s="28">
        <v>5813</v>
      </c>
      <c r="F59" s="28">
        <f>ROUND(E59/D59*100,1)</f>
        <v>93.1</v>
      </c>
      <c r="G59" s="28">
        <f>E59-D59</f>
        <v>-430</v>
      </c>
      <c r="H59" s="28">
        <v>6098</v>
      </c>
      <c r="I59" s="28">
        <f t="shared" ref="I59:I64" si="7">IF(H59&gt;0,ROUND(E59/H59*100,1),0)</f>
        <v>95.3</v>
      </c>
      <c r="J59" t="s">
        <v>87</v>
      </c>
    </row>
    <row r="60" spans="1:10" ht="31.5" hidden="1" outlineLevel="1">
      <c r="A60" s="15" t="s">
        <v>88</v>
      </c>
      <c r="B60" s="16" t="s">
        <v>89</v>
      </c>
      <c r="C60" s="17" t="s">
        <v>90</v>
      </c>
      <c r="D60" s="28"/>
      <c r="E60" s="28"/>
      <c r="F60" s="28" t="e">
        <f>ROUND(E60/D60*100,1)</f>
        <v>#DIV/0!</v>
      </c>
      <c r="G60" s="28"/>
      <c r="H60" s="28"/>
      <c r="I60" s="28">
        <f t="shared" si="7"/>
        <v>0</v>
      </c>
    </row>
    <row r="61" spans="1:10" ht="15.75" collapsed="1">
      <c r="A61" s="15" t="s">
        <v>91</v>
      </c>
      <c r="B61" s="16" t="s">
        <v>92</v>
      </c>
      <c r="C61" s="17" t="s">
        <v>37</v>
      </c>
      <c r="D61" s="33">
        <v>187039.5</v>
      </c>
      <c r="E61" s="33">
        <v>194395</v>
      </c>
      <c r="F61" s="28">
        <f>ROUND(E61/D61*100,1)</f>
        <v>103.9</v>
      </c>
      <c r="G61" s="28">
        <f>E61-D61</f>
        <v>7355.5</v>
      </c>
      <c r="H61" s="33">
        <v>145440.79999999999</v>
      </c>
      <c r="I61" s="28">
        <f t="shared" si="7"/>
        <v>133.69999999999999</v>
      </c>
      <c r="J61" t="s">
        <v>87</v>
      </c>
    </row>
    <row r="62" spans="1:10" ht="15.75">
      <c r="A62" s="15" t="s">
        <v>93</v>
      </c>
      <c r="B62" s="16" t="s">
        <v>94</v>
      </c>
      <c r="C62" s="17" t="s">
        <v>95</v>
      </c>
      <c r="D62" s="28">
        <v>3328.9</v>
      </c>
      <c r="E62" s="28">
        <v>3709.1</v>
      </c>
      <c r="F62" s="28">
        <f>ROUND(E62/D62*100,1)</f>
        <v>111.4</v>
      </c>
      <c r="G62" s="28">
        <f>E62-D62</f>
        <v>380.19999999999982</v>
      </c>
      <c r="H62" s="28">
        <v>2643.7</v>
      </c>
      <c r="I62" s="28">
        <f t="shared" si="7"/>
        <v>140.30000000000001</v>
      </c>
      <c r="J62" t="s">
        <v>87</v>
      </c>
    </row>
    <row r="63" spans="1:10" ht="15.75">
      <c r="A63" s="15" t="s">
        <v>96</v>
      </c>
      <c r="B63" s="16" t="s">
        <v>97</v>
      </c>
      <c r="C63" s="17" t="s">
        <v>37</v>
      </c>
      <c r="D63" s="18"/>
      <c r="E63" s="18">
        <v>1096113.5</v>
      </c>
      <c r="F63" s="28"/>
      <c r="G63" s="18"/>
      <c r="H63" s="18">
        <v>1273512</v>
      </c>
      <c r="I63" s="18">
        <f t="shared" si="7"/>
        <v>86.1</v>
      </c>
      <c r="J63" t="s">
        <v>58</v>
      </c>
    </row>
    <row r="64" spans="1:10" ht="15.75" hidden="1" outlineLevel="1">
      <c r="A64" s="15" t="s">
        <v>98</v>
      </c>
      <c r="B64" s="16" t="s">
        <v>99</v>
      </c>
      <c r="C64" s="17" t="s">
        <v>37</v>
      </c>
      <c r="D64" s="58"/>
      <c r="E64" s="58"/>
      <c r="F64" s="59"/>
      <c r="G64" s="58"/>
      <c r="H64" s="58"/>
      <c r="I64" s="59">
        <f t="shared" si="7"/>
        <v>0</v>
      </c>
      <c r="J64" s="31"/>
    </row>
    <row r="65" spans="1:13" ht="15.75" collapsed="1">
      <c r="A65" s="15" t="s">
        <v>100</v>
      </c>
      <c r="B65" s="16" t="s">
        <v>101</v>
      </c>
      <c r="C65" s="17" t="s">
        <v>102</v>
      </c>
      <c r="D65" s="28">
        <f>'[10]9месяцев'!$F$14</f>
        <v>156097.29999999999</v>
      </c>
      <c r="E65" s="28">
        <v>146943.54</v>
      </c>
      <c r="F65" s="28">
        <f>ROUND(E65/D65*100,1)</f>
        <v>94.1</v>
      </c>
      <c r="G65" s="28">
        <f>E65-D65</f>
        <v>-9153.7599999999802</v>
      </c>
      <c r="H65" s="28">
        <v>160250.29999999999</v>
      </c>
      <c r="I65" s="28">
        <f>ROUND(E65/H65*100,1)</f>
        <v>91.7</v>
      </c>
      <c r="J65" t="s">
        <v>103</v>
      </c>
    </row>
    <row r="66" spans="1:13" ht="15.75" hidden="1" outlineLevel="1">
      <c r="A66" s="15"/>
      <c r="B66" s="15" t="s">
        <v>12</v>
      </c>
      <c r="C66" s="17"/>
      <c r="D66" s="53"/>
      <c r="E66" s="53"/>
      <c r="F66" s="53"/>
      <c r="G66" s="53"/>
      <c r="H66" s="53"/>
      <c r="I66" s="53"/>
    </row>
    <row r="67" spans="1:13" ht="15.75" hidden="1" outlineLevel="1">
      <c r="A67" s="15"/>
      <c r="B67" s="16" t="s">
        <v>104</v>
      </c>
      <c r="C67" s="17" t="s">
        <v>102</v>
      </c>
      <c r="D67" s="53"/>
      <c r="E67" s="53"/>
      <c r="F67" s="53" t="e">
        <f>ROUND(E67/D67*100,1)</f>
        <v>#DIV/0!</v>
      </c>
      <c r="G67" s="53">
        <f>E67-D67</f>
        <v>0</v>
      </c>
      <c r="H67" s="53"/>
      <c r="I67" s="53" t="e">
        <f>ROUND(E67/H67*100,1)</f>
        <v>#DIV/0!</v>
      </c>
    </row>
    <row r="68" spans="1:13" ht="15.75" hidden="1" outlineLevel="1">
      <c r="A68" s="15"/>
      <c r="B68" s="16" t="s">
        <v>105</v>
      </c>
      <c r="C68" s="17" t="s">
        <v>102</v>
      </c>
      <c r="D68" s="53"/>
      <c r="E68" s="53"/>
      <c r="F68" s="53" t="e">
        <f>ROUND(E68/D68*100,1)</f>
        <v>#DIV/0!</v>
      </c>
      <c r="G68" s="53">
        <f>E68-D68</f>
        <v>0</v>
      </c>
      <c r="H68" s="53"/>
      <c r="I68" s="53" t="e">
        <f>ROUND(E68/H68*100,1)</f>
        <v>#DIV/0!</v>
      </c>
    </row>
    <row r="69" spans="1:13" s="32" customFormat="1" ht="15.75" collapsed="1">
      <c r="A69" s="294" t="s">
        <v>106</v>
      </c>
      <c r="B69" s="294"/>
      <c r="C69" s="294"/>
      <c r="D69" s="294"/>
      <c r="E69" s="294"/>
      <c r="F69" s="294"/>
      <c r="G69" s="294"/>
      <c r="H69" s="294"/>
      <c r="I69" s="294"/>
    </row>
    <row r="70" spans="1:13" ht="15.75">
      <c r="A70" s="15" t="s">
        <v>107</v>
      </c>
      <c r="B70" s="16" t="s">
        <v>108</v>
      </c>
      <c r="C70" s="17" t="s">
        <v>37</v>
      </c>
      <c r="D70" s="28">
        <f>'[10]9месяцев'!$B$104/1000</f>
        <v>783069.51300000004</v>
      </c>
      <c r="E70" s="18">
        <v>713598.9</v>
      </c>
      <c r="F70" s="18">
        <f t="shared" ref="F70:F96" si="8">ROUND(E70/D70*100,1)</f>
        <v>91.1</v>
      </c>
      <c r="G70" s="18">
        <f t="shared" ref="G70:G96" si="9">E70-D70</f>
        <v>-69470.613000000012</v>
      </c>
      <c r="H70" s="18">
        <v>388214.9</v>
      </c>
      <c r="I70" s="18">
        <f t="shared" ref="I70:I85" si="10">ROUND(E70/H70*100,1)</f>
        <v>183.8</v>
      </c>
      <c r="J70" t="s">
        <v>103</v>
      </c>
      <c r="M70">
        <f>1759313-152984-76292-1017231</f>
        <v>512806</v>
      </c>
    </row>
    <row r="71" spans="1:13" ht="15.75">
      <c r="A71" s="15" t="s">
        <v>109</v>
      </c>
      <c r="B71" s="16" t="s">
        <v>110</v>
      </c>
      <c r="C71" s="17" t="s">
        <v>37</v>
      </c>
      <c r="D71" s="28">
        <f>'[10]9месяцев'!$B$105/1000</f>
        <v>545616.16235400003</v>
      </c>
      <c r="E71" s="18">
        <v>513461.5</v>
      </c>
      <c r="F71" s="18">
        <f t="shared" si="8"/>
        <v>94.1</v>
      </c>
      <c r="G71" s="18">
        <f t="shared" si="9"/>
        <v>-32154.662354000029</v>
      </c>
      <c r="H71" s="18">
        <v>305491.59999999998</v>
      </c>
      <c r="I71" s="18">
        <f t="shared" si="10"/>
        <v>168.1</v>
      </c>
      <c r="J71" t="s">
        <v>103</v>
      </c>
    </row>
    <row r="72" spans="1:13" ht="15.75">
      <c r="A72" s="15" t="s">
        <v>111</v>
      </c>
      <c r="B72" s="16" t="s">
        <v>112</v>
      </c>
      <c r="C72" s="17" t="s">
        <v>37</v>
      </c>
      <c r="D72" s="33">
        <f>D70-D71</f>
        <v>237453.35064600001</v>
      </c>
      <c r="E72" s="33">
        <f>E70-E71</f>
        <v>200137.40000000002</v>
      </c>
      <c r="F72" s="34">
        <f t="shared" si="8"/>
        <v>84.3</v>
      </c>
      <c r="G72" s="18">
        <f t="shared" si="9"/>
        <v>-37315.950645999983</v>
      </c>
      <c r="H72" s="34">
        <v>82723.399999999994</v>
      </c>
      <c r="I72" s="34">
        <f t="shared" si="10"/>
        <v>241.9</v>
      </c>
      <c r="J72" t="s">
        <v>103</v>
      </c>
      <c r="M72" s="11">
        <f>D72-D73</f>
        <v>132322.024366</v>
      </c>
    </row>
    <row r="73" spans="1:13" ht="15.75">
      <c r="A73" s="15"/>
      <c r="B73" s="52" t="s">
        <v>113</v>
      </c>
      <c r="C73" s="17" t="s">
        <v>37</v>
      </c>
      <c r="D73" s="26">
        <f>D74+D75+D76</f>
        <v>105131.32628000001</v>
      </c>
      <c r="E73" s="6">
        <f>E74+E75+E76</f>
        <v>137571.70000000001</v>
      </c>
      <c r="F73" s="6">
        <f t="shared" si="8"/>
        <v>130.9</v>
      </c>
      <c r="G73" s="6">
        <f t="shared" si="9"/>
        <v>32440.373720000003</v>
      </c>
      <c r="H73" s="26">
        <v>125034.3</v>
      </c>
      <c r="I73" s="6">
        <f t="shared" si="10"/>
        <v>110</v>
      </c>
      <c r="J73" t="s">
        <v>103</v>
      </c>
      <c r="M73" s="11">
        <f>M72+D77</f>
        <v>133213.040366</v>
      </c>
    </row>
    <row r="74" spans="1:13" ht="15.75">
      <c r="A74" s="15"/>
      <c r="B74" s="61" t="s">
        <v>114</v>
      </c>
      <c r="C74" s="17" t="s">
        <v>37</v>
      </c>
      <c r="D74" s="28">
        <f>'[10]9месяцев'!$B$110/1000</f>
        <v>4006.4082800000001</v>
      </c>
      <c r="E74" s="34">
        <v>5318.7</v>
      </c>
      <c r="F74" s="34">
        <f t="shared" si="8"/>
        <v>132.80000000000001</v>
      </c>
      <c r="G74" s="18">
        <f t="shared" si="9"/>
        <v>1312.2917199999997</v>
      </c>
      <c r="H74" s="34">
        <v>28525.599999999999</v>
      </c>
      <c r="I74" s="34">
        <f t="shared" si="10"/>
        <v>18.600000000000001</v>
      </c>
      <c r="J74" t="s">
        <v>103</v>
      </c>
    </row>
    <row r="75" spans="1:13" ht="15.75">
      <c r="A75" s="15"/>
      <c r="B75" s="61" t="s">
        <v>115</v>
      </c>
      <c r="C75" s="17" t="s">
        <v>37</v>
      </c>
      <c r="D75" s="28">
        <f>'[10]9месяцев'!$B$126/1000</f>
        <v>41318.372400000007</v>
      </c>
      <c r="E75" s="18">
        <v>39133.5</v>
      </c>
      <c r="F75" s="18">
        <f t="shared" si="8"/>
        <v>94.7</v>
      </c>
      <c r="G75" s="18">
        <f t="shared" si="9"/>
        <v>-2184.8724000000075</v>
      </c>
      <c r="H75" s="18">
        <v>31442.400000000001</v>
      </c>
      <c r="I75" s="18">
        <f t="shared" si="10"/>
        <v>124.5</v>
      </c>
      <c r="J75" t="s">
        <v>103</v>
      </c>
    </row>
    <row r="76" spans="1:13" ht="15.75">
      <c r="A76" s="15"/>
      <c r="B76" s="61" t="s">
        <v>116</v>
      </c>
      <c r="C76" s="17" t="s">
        <v>37</v>
      </c>
      <c r="D76" s="28">
        <f>'[10]9месяцев'!$B$197/1000</f>
        <v>59806.545600000005</v>
      </c>
      <c r="E76" s="18">
        <v>93119.5</v>
      </c>
      <c r="F76" s="18">
        <f t="shared" si="8"/>
        <v>155.69999999999999</v>
      </c>
      <c r="G76" s="18">
        <f t="shared" si="9"/>
        <v>33312.954399999995</v>
      </c>
      <c r="H76" s="18">
        <v>65066.3</v>
      </c>
      <c r="I76" s="18">
        <f t="shared" si="10"/>
        <v>143.1</v>
      </c>
      <c r="J76" t="s">
        <v>103</v>
      </c>
    </row>
    <row r="77" spans="1:13" ht="15.75">
      <c r="A77" s="15"/>
      <c r="B77" s="16" t="s">
        <v>117</v>
      </c>
      <c r="C77" s="17" t="s">
        <v>37</v>
      </c>
      <c r="D77" s="28">
        <f>'[10]9месяцев'!$B$288/1000</f>
        <v>891.01599999999996</v>
      </c>
      <c r="E77" s="18">
        <v>14975.9</v>
      </c>
      <c r="F77" s="18"/>
      <c r="G77" s="18">
        <f t="shared" si="9"/>
        <v>14084.884</v>
      </c>
      <c r="H77" s="18">
        <v>13818</v>
      </c>
      <c r="I77" s="18">
        <f t="shared" si="10"/>
        <v>108.4</v>
      </c>
      <c r="J77" t="s">
        <v>103</v>
      </c>
    </row>
    <row r="78" spans="1:13" ht="15.75">
      <c r="A78" s="15"/>
      <c r="B78" s="16" t="s">
        <v>118</v>
      </c>
      <c r="C78" s="17" t="s">
        <v>37</v>
      </c>
      <c r="D78" s="28">
        <v>120000</v>
      </c>
      <c r="E78" s="18">
        <v>85550.9</v>
      </c>
      <c r="F78" s="18">
        <f t="shared" si="8"/>
        <v>71.3</v>
      </c>
      <c r="G78" s="18">
        <f t="shared" si="9"/>
        <v>-34449.100000000006</v>
      </c>
      <c r="H78" s="18">
        <v>143225.29999999999</v>
      </c>
      <c r="I78" s="18">
        <f t="shared" si="10"/>
        <v>59.7</v>
      </c>
      <c r="J78" t="s">
        <v>103</v>
      </c>
    </row>
    <row r="79" spans="1:13" ht="15.75" hidden="1" outlineLevel="1">
      <c r="A79" s="15"/>
      <c r="B79" s="16" t="s">
        <v>119</v>
      </c>
      <c r="C79" s="17" t="s">
        <v>37</v>
      </c>
      <c r="D79" s="33"/>
      <c r="E79" s="34"/>
      <c r="F79" s="18" t="e">
        <f t="shared" si="8"/>
        <v>#DIV/0!</v>
      </c>
      <c r="G79" s="18">
        <f t="shared" si="9"/>
        <v>0</v>
      </c>
      <c r="H79" s="58"/>
      <c r="I79" s="18" t="e">
        <f t="shared" si="10"/>
        <v>#DIV/0!</v>
      </c>
    </row>
    <row r="80" spans="1:13" ht="15.75" hidden="1" outlineLevel="1">
      <c r="A80" s="15"/>
      <c r="B80" s="16" t="s">
        <v>120</v>
      </c>
      <c r="C80" s="17" t="s">
        <v>37</v>
      </c>
      <c r="D80" s="33"/>
      <c r="E80" s="34"/>
      <c r="F80" s="18" t="e">
        <f t="shared" si="8"/>
        <v>#DIV/0!</v>
      </c>
      <c r="G80" s="18">
        <f t="shared" si="9"/>
        <v>0</v>
      </c>
      <c r="H80" s="58"/>
      <c r="I80" s="18" t="e">
        <f t="shared" si="10"/>
        <v>#DIV/0!</v>
      </c>
    </row>
    <row r="81" spans="1:10" ht="15.75" hidden="1" outlineLevel="1">
      <c r="A81" s="15"/>
      <c r="B81" s="16" t="s">
        <v>121</v>
      </c>
      <c r="C81" s="17" t="s">
        <v>37</v>
      </c>
      <c r="D81" s="33"/>
      <c r="E81" s="34"/>
      <c r="F81" s="18" t="e">
        <f t="shared" si="8"/>
        <v>#DIV/0!</v>
      </c>
      <c r="G81" s="18">
        <f t="shared" si="9"/>
        <v>0</v>
      </c>
      <c r="H81" s="58"/>
      <c r="I81" s="18" t="e">
        <f t="shared" si="10"/>
        <v>#DIV/0!</v>
      </c>
    </row>
    <row r="82" spans="1:10" ht="15.75" hidden="1" outlineLevel="1">
      <c r="A82" s="15"/>
      <c r="B82" s="16" t="s">
        <v>122</v>
      </c>
      <c r="C82" s="17" t="s">
        <v>37</v>
      </c>
      <c r="D82" s="33"/>
      <c r="E82" s="34"/>
      <c r="F82" s="18" t="e">
        <f t="shared" si="8"/>
        <v>#DIV/0!</v>
      </c>
      <c r="G82" s="18">
        <f t="shared" si="9"/>
        <v>0</v>
      </c>
      <c r="H82" s="58"/>
      <c r="I82" s="18" t="e">
        <f t="shared" si="10"/>
        <v>#DIV/0!</v>
      </c>
    </row>
    <row r="83" spans="1:10" ht="15.75" hidden="1" outlineLevel="1">
      <c r="A83" s="15"/>
      <c r="B83" s="16" t="s">
        <v>123</v>
      </c>
      <c r="C83" s="17" t="s">
        <v>37</v>
      </c>
      <c r="D83" s="33"/>
      <c r="E83" s="34"/>
      <c r="F83" s="18" t="e">
        <f t="shared" si="8"/>
        <v>#DIV/0!</v>
      </c>
      <c r="G83" s="18">
        <f t="shared" si="9"/>
        <v>0</v>
      </c>
      <c r="H83" s="58"/>
      <c r="I83" s="18" t="e">
        <f t="shared" si="10"/>
        <v>#DIV/0!</v>
      </c>
    </row>
    <row r="84" spans="1:10" ht="15.75" hidden="1" outlineLevel="1">
      <c r="A84" s="15"/>
      <c r="B84" s="16" t="s">
        <v>121</v>
      </c>
      <c r="C84" s="17" t="s">
        <v>37</v>
      </c>
      <c r="D84" s="33"/>
      <c r="E84" s="34"/>
      <c r="F84" s="18" t="e">
        <f t="shared" si="8"/>
        <v>#DIV/0!</v>
      </c>
      <c r="G84" s="18">
        <f t="shared" si="9"/>
        <v>0</v>
      </c>
      <c r="H84" s="58"/>
      <c r="I84" s="18" t="e">
        <f t="shared" si="10"/>
        <v>#DIV/0!</v>
      </c>
    </row>
    <row r="85" spans="1:10" ht="15.75" hidden="1" outlineLevel="1">
      <c r="A85" s="15"/>
      <c r="B85" s="16" t="s">
        <v>122</v>
      </c>
      <c r="C85" s="17" t="s">
        <v>37</v>
      </c>
      <c r="D85" s="33"/>
      <c r="E85" s="34"/>
      <c r="F85" s="18" t="e">
        <f t="shared" si="8"/>
        <v>#DIV/0!</v>
      </c>
      <c r="G85" s="18">
        <f t="shared" si="9"/>
        <v>0</v>
      </c>
      <c r="H85" s="58"/>
      <c r="I85" s="18" t="e">
        <f t="shared" si="10"/>
        <v>#DIV/0!</v>
      </c>
    </row>
    <row r="86" spans="1:10" ht="15.75" hidden="1" outlineLevel="1" collapsed="1">
      <c r="A86" s="15"/>
      <c r="B86" s="16" t="s">
        <v>124</v>
      </c>
      <c r="C86" s="17" t="s">
        <v>37</v>
      </c>
      <c r="D86" s="28"/>
      <c r="E86" s="34"/>
      <c r="F86" s="18" t="e">
        <f t="shared" si="8"/>
        <v>#DIV/0!</v>
      </c>
      <c r="G86" s="18">
        <f t="shared" si="9"/>
        <v>0</v>
      </c>
      <c r="H86" s="58"/>
      <c r="I86" s="18"/>
    </row>
    <row r="87" spans="1:10" ht="15.75" hidden="1" outlineLevel="1">
      <c r="A87" s="15"/>
      <c r="B87" s="16" t="s">
        <v>121</v>
      </c>
      <c r="C87" s="17" t="s">
        <v>37</v>
      </c>
      <c r="D87" s="28"/>
      <c r="E87" s="34"/>
      <c r="F87" s="18" t="e">
        <f t="shared" si="8"/>
        <v>#DIV/0!</v>
      </c>
      <c r="G87" s="18">
        <f t="shared" si="9"/>
        <v>0</v>
      </c>
      <c r="H87" s="58"/>
      <c r="I87" s="18" t="e">
        <f>ROUND(E87/H87*100,1)</f>
        <v>#DIV/0!</v>
      </c>
    </row>
    <row r="88" spans="1:10" ht="15.75" hidden="1" outlineLevel="1">
      <c r="A88" s="15"/>
      <c r="B88" s="16" t="s">
        <v>122</v>
      </c>
      <c r="C88" s="17" t="s">
        <v>37</v>
      </c>
      <c r="D88" s="33"/>
      <c r="E88" s="34"/>
      <c r="F88" s="18" t="e">
        <f t="shared" si="8"/>
        <v>#DIV/0!</v>
      </c>
      <c r="G88" s="18">
        <f t="shared" si="9"/>
        <v>0</v>
      </c>
      <c r="H88" s="58"/>
      <c r="I88" s="18"/>
    </row>
    <row r="89" spans="1:10" ht="15.75" collapsed="1">
      <c r="A89" s="15"/>
      <c r="B89" s="16" t="s">
        <v>125</v>
      </c>
      <c r="C89" s="17" t="s">
        <v>37</v>
      </c>
      <c r="D89" s="26">
        <f>D72-D73-D78+D77</f>
        <v>13213.040365999997</v>
      </c>
      <c r="E89" s="26">
        <f>E72-E73+E77-E78</f>
        <v>-8009.2999999999884</v>
      </c>
      <c r="F89" s="6">
        <f t="shared" si="8"/>
        <v>-60.6</v>
      </c>
      <c r="G89" s="6">
        <f t="shared" si="9"/>
        <v>-21222.340365999986</v>
      </c>
      <c r="H89" s="62">
        <v>-161800.70000000001</v>
      </c>
      <c r="I89" s="6">
        <f t="shared" ref="I89:I96" si="11">ROUND(E89/H89*100,1)</f>
        <v>5</v>
      </c>
      <c r="J89" t="s">
        <v>103</v>
      </c>
    </row>
    <row r="90" spans="1:10" ht="17.25" customHeight="1">
      <c r="A90" s="15"/>
      <c r="B90" s="16" t="s">
        <v>126</v>
      </c>
      <c r="C90" s="17" t="s">
        <v>37</v>
      </c>
      <c r="D90" s="28" t="s">
        <v>73</v>
      </c>
      <c r="E90" s="18" t="s">
        <v>73</v>
      </c>
      <c r="F90" s="18" t="s">
        <v>73</v>
      </c>
      <c r="G90" s="18" t="s">
        <v>73</v>
      </c>
      <c r="H90" s="18" t="s">
        <v>73</v>
      </c>
      <c r="I90" s="18" t="s">
        <v>73</v>
      </c>
      <c r="J90" t="s">
        <v>103</v>
      </c>
    </row>
    <row r="91" spans="1:10" ht="17.25" hidden="1" customHeight="1" outlineLevel="1">
      <c r="A91" s="15"/>
      <c r="B91" s="16" t="s">
        <v>127</v>
      </c>
      <c r="C91" s="17" t="s">
        <v>37</v>
      </c>
      <c r="D91" s="28">
        <f>'[1]1 квартал'!$B$297/1000</f>
        <v>15.822778173897415</v>
      </c>
      <c r="E91" s="34"/>
      <c r="F91" s="18"/>
      <c r="G91" s="18">
        <f t="shared" si="9"/>
        <v>-15.822778173897415</v>
      </c>
      <c r="H91" s="34"/>
      <c r="I91" s="18"/>
    </row>
    <row r="92" spans="1:10" ht="15.75" collapsed="1">
      <c r="A92" s="15"/>
      <c r="B92" s="16" t="s">
        <v>128</v>
      </c>
      <c r="C92" s="17" t="s">
        <v>37</v>
      </c>
      <c r="D92" s="28">
        <f>D89</f>
        <v>13213.040365999997</v>
      </c>
      <c r="E92" s="34">
        <f>E89</f>
        <v>-8009.2999999999884</v>
      </c>
      <c r="F92" s="18">
        <f t="shared" si="8"/>
        <v>-60.6</v>
      </c>
      <c r="G92" s="18">
        <f t="shared" si="9"/>
        <v>-21222.340365999986</v>
      </c>
      <c r="H92" s="34">
        <v>0</v>
      </c>
      <c r="I92" s="18"/>
      <c r="J92" t="s">
        <v>103</v>
      </c>
    </row>
    <row r="93" spans="1:10" ht="17.25" customHeight="1">
      <c r="A93" s="15"/>
      <c r="B93" s="16" t="s">
        <v>129</v>
      </c>
      <c r="C93" s="17" t="s">
        <v>37</v>
      </c>
      <c r="D93" s="33">
        <f>D92*15%</f>
        <v>1981.9560548999996</v>
      </c>
      <c r="E93" s="34">
        <v>95.885999999999996</v>
      </c>
      <c r="F93" s="18">
        <f t="shared" si="8"/>
        <v>4.8</v>
      </c>
      <c r="G93" s="18">
        <f t="shared" si="9"/>
        <v>-1886.0700548999996</v>
      </c>
      <c r="H93" s="34">
        <v>0</v>
      </c>
      <c r="I93" s="18"/>
      <c r="J93" t="s">
        <v>103</v>
      </c>
    </row>
    <row r="94" spans="1:10" ht="15.75" hidden="1" outlineLevel="1">
      <c r="A94" s="15"/>
      <c r="B94" s="16" t="s">
        <v>130</v>
      </c>
      <c r="C94" s="17" t="s">
        <v>37</v>
      </c>
      <c r="D94" s="33"/>
      <c r="E94" s="34"/>
      <c r="F94" s="18" t="e">
        <f t="shared" si="8"/>
        <v>#DIV/0!</v>
      </c>
      <c r="G94" s="18">
        <f t="shared" si="9"/>
        <v>0</v>
      </c>
      <c r="H94" s="34">
        <v>0</v>
      </c>
      <c r="I94" s="18" t="e">
        <f t="shared" si="11"/>
        <v>#DIV/0!</v>
      </c>
      <c r="J94" t="s">
        <v>103</v>
      </c>
    </row>
    <row r="95" spans="1:10" ht="15.75" hidden="1" outlineLevel="2">
      <c r="A95" s="15"/>
      <c r="B95" s="16" t="s">
        <v>131</v>
      </c>
      <c r="C95" s="17" t="s">
        <v>37</v>
      </c>
      <c r="D95" s="33"/>
      <c r="E95" s="34"/>
      <c r="F95" s="18" t="e">
        <f t="shared" si="8"/>
        <v>#DIV/0!</v>
      </c>
      <c r="G95" s="18">
        <f t="shared" si="9"/>
        <v>0</v>
      </c>
      <c r="H95" s="34"/>
      <c r="I95" s="18" t="e">
        <f t="shared" si="11"/>
        <v>#DIV/0!</v>
      </c>
    </row>
    <row r="96" spans="1:10" ht="15.75" collapsed="1">
      <c r="A96" s="15"/>
      <c r="B96" s="16" t="s">
        <v>132</v>
      </c>
      <c r="C96" s="17" t="s">
        <v>37</v>
      </c>
      <c r="D96" s="33">
        <f>D92-D93</f>
        <v>11231.084311099998</v>
      </c>
      <c r="E96" s="34">
        <f>E89-E93</f>
        <v>-8105.1859999999888</v>
      </c>
      <c r="F96" s="18">
        <f t="shared" si="8"/>
        <v>-72.2</v>
      </c>
      <c r="G96" s="18">
        <f t="shared" si="9"/>
        <v>-19336.270311099986</v>
      </c>
      <c r="H96" s="34">
        <f>H89</f>
        <v>-161800.70000000001</v>
      </c>
      <c r="I96" s="18">
        <f t="shared" si="11"/>
        <v>5</v>
      </c>
      <c r="J96" t="s">
        <v>103</v>
      </c>
    </row>
    <row r="97" spans="1:12" ht="15.75" hidden="1" outlineLevel="1">
      <c r="A97" s="15"/>
      <c r="B97" s="64" t="s">
        <v>133</v>
      </c>
      <c r="C97" s="65"/>
      <c r="D97" s="66"/>
      <c r="E97" s="66"/>
      <c r="F97" s="66"/>
      <c r="G97" s="66"/>
      <c r="H97" s="23"/>
      <c r="I97" s="66"/>
    </row>
    <row r="98" spans="1:12" ht="15.75" hidden="1" outlineLevel="1">
      <c r="A98" s="15"/>
      <c r="B98" s="16" t="s">
        <v>134</v>
      </c>
      <c r="C98" s="17" t="s">
        <v>37</v>
      </c>
      <c r="D98" s="34"/>
      <c r="E98" s="18"/>
      <c r="F98" s="18">
        <f>IF(E98&gt;0,ROUND(E98/D98*100,1),0)</f>
        <v>0</v>
      </c>
      <c r="G98" s="18">
        <f>E98-D98</f>
        <v>0</v>
      </c>
      <c r="H98" s="23"/>
      <c r="I98" s="34"/>
    </row>
    <row r="99" spans="1:12" ht="16.5" hidden="1" customHeight="1" outlineLevel="1">
      <c r="A99" s="15"/>
      <c r="B99" s="16" t="s">
        <v>135</v>
      </c>
      <c r="C99" s="17" t="s">
        <v>37</v>
      </c>
      <c r="D99" s="34"/>
      <c r="E99" s="18"/>
      <c r="F99" s="34"/>
      <c r="G99" s="34"/>
      <c r="H99" s="23"/>
      <c r="I99" s="34"/>
    </row>
    <row r="100" spans="1:12" ht="16.5" hidden="1" customHeight="1" outlineLevel="1">
      <c r="A100" s="67"/>
      <c r="B100" s="68" t="s">
        <v>119</v>
      </c>
      <c r="C100" s="69" t="s">
        <v>37</v>
      </c>
      <c r="D100" s="70">
        <v>0</v>
      </c>
      <c r="E100" s="70"/>
      <c r="F100" s="70"/>
      <c r="G100" s="70"/>
      <c r="H100" s="71"/>
      <c r="I100" s="70"/>
    </row>
    <row r="101" spans="1:12" ht="15.75" collapsed="1">
      <c r="A101" s="15" t="s">
        <v>136</v>
      </c>
      <c r="B101" s="52" t="s">
        <v>137</v>
      </c>
      <c r="C101" s="17"/>
      <c r="D101" s="34"/>
      <c r="E101" s="34"/>
      <c r="F101" s="18"/>
      <c r="G101" s="18"/>
      <c r="H101" s="34"/>
      <c r="I101" s="18"/>
    </row>
    <row r="102" spans="1:12" ht="15.75">
      <c r="A102" s="15"/>
      <c r="B102" s="29" t="s">
        <v>138</v>
      </c>
      <c r="C102" s="17" t="s">
        <v>37</v>
      </c>
      <c r="D102" s="6">
        <f>D103+D106</f>
        <v>77884.956054900002</v>
      </c>
      <c r="E102" s="6">
        <f>E103+E106</f>
        <v>75998.885999999999</v>
      </c>
      <c r="F102" s="6">
        <f>ROUND(E102/D102*100,1)</f>
        <v>97.6</v>
      </c>
      <c r="G102" s="6">
        <f>E102-D102</f>
        <v>-1886.070054900003</v>
      </c>
      <c r="H102" s="6">
        <f>H103+H106</f>
        <v>32588.400000000001</v>
      </c>
      <c r="I102" s="6">
        <f>ROUND(E102/H102*100,1)</f>
        <v>233.2</v>
      </c>
      <c r="J102" s="11" t="s">
        <v>139</v>
      </c>
    </row>
    <row r="103" spans="1:12" ht="15.75">
      <c r="A103" s="15"/>
      <c r="B103" s="61" t="s">
        <v>140</v>
      </c>
      <c r="C103" s="17" t="s">
        <v>37</v>
      </c>
      <c r="D103" s="34">
        <f>D93</f>
        <v>1981.9560548999996</v>
      </c>
      <c r="E103" s="34">
        <f>E93</f>
        <v>95.885999999999996</v>
      </c>
      <c r="F103" s="18">
        <f>ROUND(E103/D103*100,1)</f>
        <v>4.8</v>
      </c>
      <c r="G103" s="18">
        <f>E103-D103</f>
        <v>-1886.0700548999996</v>
      </c>
      <c r="H103" s="34"/>
      <c r="I103" s="18"/>
      <c r="J103" s="11" t="s">
        <v>139</v>
      </c>
    </row>
    <row r="104" spans="1:12" ht="17.25" hidden="1" customHeight="1" outlineLevel="1">
      <c r="A104" s="15"/>
      <c r="B104" s="61" t="s">
        <v>141</v>
      </c>
      <c r="C104" s="17" t="s">
        <v>37</v>
      </c>
      <c r="D104" s="34"/>
      <c r="E104" s="34"/>
      <c r="F104" s="34"/>
      <c r="G104" s="34"/>
      <c r="H104" s="34"/>
      <c r="I104" s="18"/>
      <c r="J104" s="11"/>
    </row>
    <row r="105" spans="1:12" ht="17.25" hidden="1" customHeight="1" outlineLevel="1">
      <c r="A105" s="15"/>
      <c r="B105" s="72" t="s">
        <v>142</v>
      </c>
      <c r="C105" s="17" t="s">
        <v>37</v>
      </c>
      <c r="D105" s="34"/>
      <c r="E105" s="34"/>
      <c r="F105" s="18"/>
      <c r="G105" s="34">
        <f t="shared" ref="G105:G113" si="12">E105-D105</f>
        <v>0</v>
      </c>
      <c r="H105" s="34"/>
      <c r="I105" s="18" t="e">
        <f>ROUND(E105/H105*100,1)</f>
        <v>#DIV/0!</v>
      </c>
      <c r="J105" s="11" t="s">
        <v>139</v>
      </c>
    </row>
    <row r="106" spans="1:12" ht="19.5" customHeight="1" collapsed="1">
      <c r="A106" s="15"/>
      <c r="B106" s="61" t="s">
        <v>143</v>
      </c>
      <c r="C106" s="17" t="s">
        <v>37</v>
      </c>
      <c r="D106" s="18">
        <f>E106</f>
        <v>75903</v>
      </c>
      <c r="E106" s="18">
        <v>75903</v>
      </c>
      <c r="F106" s="18"/>
      <c r="G106" s="34">
        <f t="shared" si="12"/>
        <v>0</v>
      </c>
      <c r="H106" s="18">
        <v>32588.400000000001</v>
      </c>
      <c r="I106" s="18">
        <f>ROUND(E106/H106*100,1)</f>
        <v>232.9</v>
      </c>
      <c r="J106" s="11" t="s">
        <v>139</v>
      </c>
    </row>
    <row r="107" spans="1:12" ht="20.25" customHeight="1">
      <c r="A107" s="15"/>
      <c r="B107" s="74" t="s">
        <v>144</v>
      </c>
      <c r="C107" s="17" t="s">
        <v>37</v>
      </c>
      <c r="D107" s="6">
        <f>SUM(D108:D112)</f>
        <v>33800.029000000002</v>
      </c>
      <c r="E107" s="6">
        <f>SUM(E108:E112)</f>
        <v>47175.357000000004</v>
      </c>
      <c r="F107" s="6">
        <f>ROUND(E107/D107*100,1)</f>
        <v>139.6</v>
      </c>
      <c r="G107" s="6">
        <f t="shared" si="12"/>
        <v>13375.328000000001</v>
      </c>
      <c r="H107" s="6">
        <f>SUM(H108:H112)</f>
        <v>29620.5</v>
      </c>
      <c r="I107" s="6">
        <f>IF(H107&gt;0,ROUND(E107/H107*100,1),0)</f>
        <v>159.30000000000001</v>
      </c>
      <c r="J107" s="11" t="s">
        <v>139</v>
      </c>
    </row>
    <row r="108" spans="1:12" ht="15.75">
      <c r="A108" s="15"/>
      <c r="B108" s="75" t="s">
        <v>145</v>
      </c>
      <c r="C108" s="17" t="s">
        <v>37</v>
      </c>
      <c r="D108" s="34">
        <v>0</v>
      </c>
      <c r="E108" s="34">
        <v>11060.8</v>
      </c>
      <c r="F108" s="6">
        <v>0</v>
      </c>
      <c r="G108" s="18">
        <f>E108-D108</f>
        <v>11060.8</v>
      </c>
      <c r="H108" s="18">
        <v>6153.1</v>
      </c>
      <c r="I108" s="34"/>
    </row>
    <row r="109" spans="1:12" s="19" customFormat="1" ht="15.75">
      <c r="A109" s="15"/>
      <c r="B109" s="30" t="s">
        <v>146</v>
      </c>
      <c r="C109" s="17" t="s">
        <v>37</v>
      </c>
      <c r="D109" s="34">
        <f>'[10]9месяцев'!$B$248/1000</f>
        <v>1879.355</v>
      </c>
      <c r="E109" s="34">
        <v>2132.1190000000001</v>
      </c>
      <c r="F109" s="18">
        <f>ROUND(E109/D109*100,1)</f>
        <v>113.4</v>
      </c>
      <c r="G109" s="18">
        <f t="shared" ref="G109:G112" si="13">E109-D109</f>
        <v>252.76400000000012</v>
      </c>
      <c r="H109" s="34">
        <v>1902.8</v>
      </c>
      <c r="I109" s="34">
        <f>ROUND(E109/H109*100,1)</f>
        <v>112.1</v>
      </c>
      <c r="J109" s="11" t="s">
        <v>139</v>
      </c>
      <c r="K109"/>
      <c r="L109"/>
    </row>
    <row r="110" spans="1:12" ht="15.75">
      <c r="A110" s="15"/>
      <c r="B110" s="30" t="s">
        <v>147</v>
      </c>
      <c r="C110" s="17" t="s">
        <v>37</v>
      </c>
      <c r="D110" s="34">
        <f>'[10]9месяцев'!$B$249/1000</f>
        <v>429.89400000000001</v>
      </c>
      <c r="E110" s="34">
        <v>662.1</v>
      </c>
      <c r="F110" s="18">
        <f>ROUND(E110/D110*100,1)</f>
        <v>154</v>
      </c>
      <c r="G110" s="18">
        <f t="shared" si="13"/>
        <v>232.20600000000002</v>
      </c>
      <c r="H110" s="34">
        <v>463</v>
      </c>
      <c r="I110" s="34">
        <f>ROUND(E110/H110*100,1)</f>
        <v>143</v>
      </c>
      <c r="J110" s="11" t="s">
        <v>139</v>
      </c>
    </row>
    <row r="111" spans="1:12" ht="15.75">
      <c r="A111" s="15"/>
      <c r="B111" s="30" t="s">
        <v>148</v>
      </c>
      <c r="C111" s="17" t="s">
        <v>37</v>
      </c>
      <c r="D111" s="34">
        <f>'[10]9месяцев'!$B$250/1000</f>
        <v>5599.9170000000004</v>
      </c>
      <c r="E111" s="34">
        <v>6911.2</v>
      </c>
      <c r="F111" s="18">
        <f>ROUND(E111/D111*100,1)</f>
        <v>123.4</v>
      </c>
      <c r="G111" s="18">
        <f t="shared" si="13"/>
        <v>1311.2829999999994</v>
      </c>
      <c r="H111" s="34">
        <v>5754.5</v>
      </c>
      <c r="I111" s="34">
        <f>ROUND(E111/H111*100,1)</f>
        <v>120.1</v>
      </c>
      <c r="J111" s="11" t="s">
        <v>139</v>
      </c>
    </row>
    <row r="112" spans="1:12" ht="15.75">
      <c r="A112" s="15"/>
      <c r="B112" s="30" t="s">
        <v>149</v>
      </c>
      <c r="C112" s="17" t="s">
        <v>37</v>
      </c>
      <c r="D112" s="18">
        <f>'[10]9месяцев'!$B$247/1000</f>
        <v>25890.863000000001</v>
      </c>
      <c r="E112" s="34">
        <v>26409.137999999999</v>
      </c>
      <c r="F112" s="18">
        <f>ROUND(E112/D112*100,1)</f>
        <v>102</v>
      </c>
      <c r="G112" s="18">
        <f t="shared" si="13"/>
        <v>518.27499999999782</v>
      </c>
      <c r="H112" s="34">
        <v>15347.1</v>
      </c>
      <c r="I112" s="34">
        <f>ROUND(E112/H112*100,1)</f>
        <v>172.1</v>
      </c>
      <c r="J112" s="11" t="s">
        <v>139</v>
      </c>
    </row>
    <row r="113" spans="1:13" ht="21" customHeight="1">
      <c r="A113" s="15"/>
      <c r="B113" s="76" t="s">
        <v>150</v>
      </c>
      <c r="C113" s="17" t="s">
        <v>37</v>
      </c>
      <c r="D113" s="6">
        <f>SUM(D115:D120)</f>
        <v>39210.649999999994</v>
      </c>
      <c r="E113" s="6">
        <f>SUM(E115:E120)</f>
        <v>25963.825000000001</v>
      </c>
      <c r="F113" s="6">
        <f>ROUND(E113/D113*100,1)</f>
        <v>66.2</v>
      </c>
      <c r="G113" s="6">
        <f t="shared" si="12"/>
        <v>-13246.824999999993</v>
      </c>
      <c r="H113" s="6">
        <f>SUM(H115:H120)</f>
        <v>19132.3</v>
      </c>
      <c r="I113" s="6">
        <f>ROUND(E113/H113*100,1)</f>
        <v>135.69999999999999</v>
      </c>
      <c r="J113" s="11" t="s">
        <v>139</v>
      </c>
    </row>
    <row r="114" spans="1:13" ht="15.75">
      <c r="A114" s="15"/>
      <c r="B114" s="15" t="s">
        <v>12</v>
      </c>
      <c r="C114" s="17" t="s">
        <v>37</v>
      </c>
      <c r="D114" s="34">
        <v>0</v>
      </c>
      <c r="E114" s="34"/>
      <c r="F114" s="34"/>
      <c r="G114" s="34"/>
      <c r="H114" s="23"/>
      <c r="I114" s="34"/>
    </row>
    <row r="115" spans="1:13" ht="26.25" hidden="1" customHeight="1" outlineLevel="1">
      <c r="A115" s="15"/>
      <c r="B115" s="17" t="s">
        <v>151</v>
      </c>
      <c r="C115" s="17" t="s">
        <v>37</v>
      </c>
      <c r="D115" s="18"/>
      <c r="E115" s="18"/>
      <c r="F115" s="18"/>
      <c r="G115" s="18">
        <f t="shared" ref="G115:G121" si="14">E115-D115</f>
        <v>0</v>
      </c>
      <c r="H115" s="18"/>
      <c r="I115" s="18" t="e">
        <f t="shared" ref="I115:I121" si="15">ROUND(E115/H115*100,1)</f>
        <v>#DIV/0!</v>
      </c>
      <c r="J115" s="11" t="s">
        <v>139</v>
      </c>
    </row>
    <row r="116" spans="1:13" ht="30" hidden="1" customHeight="1" outlineLevel="1">
      <c r="A116" s="15"/>
      <c r="B116" s="30" t="s">
        <v>152</v>
      </c>
      <c r="C116" s="17" t="s">
        <v>37</v>
      </c>
      <c r="D116" s="18"/>
      <c r="E116" s="18"/>
      <c r="F116" s="18"/>
      <c r="G116" s="18">
        <f t="shared" si="14"/>
        <v>0</v>
      </c>
      <c r="H116" s="18"/>
      <c r="I116" s="18" t="e">
        <f t="shared" si="15"/>
        <v>#DIV/0!</v>
      </c>
      <c r="J116" s="11" t="s">
        <v>139</v>
      </c>
    </row>
    <row r="117" spans="1:13" ht="15.75" collapsed="1">
      <c r="A117" s="15"/>
      <c r="B117" s="30" t="s">
        <v>204</v>
      </c>
      <c r="C117" s="17" t="s">
        <v>37</v>
      </c>
      <c r="D117" s="18">
        <f>D61*12%</f>
        <v>22444.739999999998</v>
      </c>
      <c r="E117" s="18">
        <v>24751.125</v>
      </c>
      <c r="F117" s="18">
        <f>ROUND(E117/D117*100,1)</f>
        <v>110.3</v>
      </c>
      <c r="G117" s="18">
        <f t="shared" si="14"/>
        <v>2306.385000000002</v>
      </c>
      <c r="H117" s="18">
        <v>17355.5</v>
      </c>
      <c r="I117" s="18">
        <f t="shared" si="15"/>
        <v>142.6</v>
      </c>
      <c r="J117" s="11" t="s">
        <v>139</v>
      </c>
    </row>
    <row r="118" spans="1:13" ht="34.5" customHeight="1">
      <c r="A118" s="67"/>
      <c r="B118" s="30" t="s">
        <v>153</v>
      </c>
      <c r="C118" s="17" t="s">
        <v>37</v>
      </c>
      <c r="D118" s="18">
        <f>('[10]9месяцев'!$B$243+'[10]9месяцев'!$B$244)/1000</f>
        <v>1802.75</v>
      </c>
      <c r="E118" s="35">
        <f>568.7+644</f>
        <v>1212.7</v>
      </c>
      <c r="F118" s="18">
        <f>ROUND(E118/D118*100,1)</f>
        <v>67.3</v>
      </c>
      <c r="G118" s="35">
        <f>E118-D118</f>
        <v>-590.04999999999995</v>
      </c>
      <c r="H118" s="35">
        <v>1776.8</v>
      </c>
      <c r="I118" s="18">
        <f t="shared" si="15"/>
        <v>68.3</v>
      </c>
      <c r="J118" s="11" t="s">
        <v>139</v>
      </c>
    </row>
    <row r="119" spans="1:13" ht="47.25" hidden="1" customHeight="1" outlineLevel="2">
      <c r="A119" s="15"/>
      <c r="B119" s="30" t="s">
        <v>154</v>
      </c>
      <c r="C119" s="17" t="s">
        <v>37</v>
      </c>
      <c r="D119" s="18"/>
      <c r="E119" s="18"/>
      <c r="F119" s="18" t="e">
        <f>ROUND(E119/D119*100,1)</f>
        <v>#DIV/0!</v>
      </c>
      <c r="G119" s="35">
        <f t="shared" si="14"/>
        <v>0</v>
      </c>
      <c r="H119" s="18"/>
      <c r="I119" s="18" t="e">
        <f t="shared" si="15"/>
        <v>#DIV/0!</v>
      </c>
      <c r="J119" s="11" t="s">
        <v>139</v>
      </c>
      <c r="M119">
        <f>15287.1+3820.2</f>
        <v>19107.3</v>
      </c>
    </row>
    <row r="120" spans="1:13" ht="36" hidden="1" customHeight="1" outlineLevel="2">
      <c r="A120" s="15"/>
      <c r="B120" s="30" t="s">
        <v>155</v>
      </c>
      <c r="C120" s="17" t="s">
        <v>37</v>
      </c>
      <c r="D120" s="18">
        <f>D61*8%</f>
        <v>14963.16</v>
      </c>
      <c r="E120" s="18"/>
      <c r="F120" s="18">
        <f>ROUND(E120/D120*100,1)</f>
        <v>0</v>
      </c>
      <c r="G120" s="18">
        <f t="shared" si="14"/>
        <v>-14963.16</v>
      </c>
      <c r="H120" s="18"/>
      <c r="I120" s="18" t="e">
        <f t="shared" si="15"/>
        <v>#DIV/0!</v>
      </c>
      <c r="J120" s="11" t="s">
        <v>139</v>
      </c>
    </row>
    <row r="121" spans="1:13" ht="15.75" collapsed="1">
      <c r="A121" s="15"/>
      <c r="B121" s="52" t="s">
        <v>156</v>
      </c>
      <c r="C121" s="17" t="s">
        <v>37</v>
      </c>
      <c r="D121" s="6">
        <f>D102+D113+D107</f>
        <v>150895.63505489999</v>
      </c>
      <c r="E121" s="6">
        <f>E102+E113+E107</f>
        <v>149138.068</v>
      </c>
      <c r="F121" s="6">
        <f>ROUND(E121/D121*100,1)</f>
        <v>98.8</v>
      </c>
      <c r="G121" s="6">
        <f t="shared" si="14"/>
        <v>-1757.5670548999915</v>
      </c>
      <c r="H121" s="6">
        <f>H102+H113+H107</f>
        <v>81341.2</v>
      </c>
      <c r="I121" s="6">
        <f t="shared" si="15"/>
        <v>183.3</v>
      </c>
      <c r="J121" s="11" t="s">
        <v>139</v>
      </c>
    </row>
    <row r="122" spans="1:13" ht="15.75">
      <c r="A122" s="15" t="s">
        <v>157</v>
      </c>
      <c r="B122" s="52" t="s">
        <v>158</v>
      </c>
      <c r="C122" s="17" t="s">
        <v>37</v>
      </c>
      <c r="D122" s="6" t="s">
        <v>73</v>
      </c>
      <c r="E122" s="6" t="s">
        <v>73</v>
      </c>
      <c r="F122" s="6" t="s">
        <v>73</v>
      </c>
      <c r="G122" s="6" t="s">
        <v>73</v>
      </c>
      <c r="H122" s="6"/>
      <c r="I122" s="6" t="s">
        <v>73</v>
      </c>
    </row>
    <row r="123" spans="1:13" ht="27" customHeight="1">
      <c r="A123" s="15"/>
      <c r="B123" s="77" t="s">
        <v>159</v>
      </c>
      <c r="C123" s="17" t="s">
        <v>37</v>
      </c>
      <c r="D123" s="6" t="s">
        <v>73</v>
      </c>
      <c r="E123" s="6" t="s">
        <v>73</v>
      </c>
      <c r="F123" s="6" t="s">
        <v>73</v>
      </c>
      <c r="G123" s="6" t="s">
        <v>73</v>
      </c>
      <c r="H123" s="18" t="s">
        <v>73</v>
      </c>
      <c r="I123" s="6" t="s">
        <v>73</v>
      </c>
      <c r="J123" s="36"/>
      <c r="K123" s="1"/>
    </row>
    <row r="124" spans="1:13" ht="18" hidden="1" customHeight="1" outlineLevel="1">
      <c r="A124" s="15"/>
      <c r="B124" s="16" t="s">
        <v>160</v>
      </c>
      <c r="C124" s="17" t="s">
        <v>37</v>
      </c>
      <c r="D124" s="18"/>
      <c r="E124" s="18"/>
      <c r="F124" s="18"/>
      <c r="G124" s="18"/>
      <c r="H124" s="18" t="s">
        <v>73</v>
      </c>
      <c r="I124" s="18"/>
    </row>
    <row r="125" spans="1:13" ht="24" customHeight="1" collapsed="1">
      <c r="A125" s="15" t="s">
        <v>161</v>
      </c>
      <c r="B125" s="52" t="s">
        <v>162</v>
      </c>
      <c r="C125" s="17" t="s">
        <v>37</v>
      </c>
      <c r="D125" s="6">
        <f>SUM(D127:D130)</f>
        <v>545616.13087540003</v>
      </c>
      <c r="E125" s="6">
        <f>SUM(E127:E130)</f>
        <v>512676.19999999995</v>
      </c>
      <c r="F125" s="6">
        <f t="shared" ref="F125:F130" si="16">ROUND(E125/D125*100,1)</f>
        <v>94</v>
      </c>
      <c r="G125" s="6">
        <f t="shared" ref="G125:G151" si="17">E125-D125</f>
        <v>-32939.930875400081</v>
      </c>
      <c r="H125" s="6">
        <f>SUM(H127:H130)</f>
        <v>398805.10000000003</v>
      </c>
      <c r="I125" s="6">
        <f>ROUND(E125/H125*100,1)</f>
        <v>128.6</v>
      </c>
      <c r="J125" s="11" t="s">
        <v>139</v>
      </c>
      <c r="M125" s="11"/>
    </row>
    <row r="126" spans="1:13" ht="15.75">
      <c r="A126" s="15"/>
      <c r="B126" s="15" t="s">
        <v>163</v>
      </c>
      <c r="C126" s="17" t="s">
        <v>37</v>
      </c>
      <c r="D126" s="18"/>
      <c r="E126" s="18"/>
      <c r="F126" s="18"/>
      <c r="G126" s="18">
        <f t="shared" si="17"/>
        <v>0</v>
      </c>
      <c r="H126" s="11"/>
      <c r="I126" s="18"/>
      <c r="M126" s="11"/>
    </row>
    <row r="127" spans="1:13" ht="19.5" customHeight="1">
      <c r="A127" s="15"/>
      <c r="B127" s="61" t="s">
        <v>164</v>
      </c>
      <c r="C127" s="17" t="s">
        <v>37</v>
      </c>
      <c r="D127" s="18">
        <f>'[10]9месяцев'!$B$16/1000</f>
        <v>261624.44899999999</v>
      </c>
      <c r="E127" s="18">
        <v>232926.3</v>
      </c>
      <c r="F127" s="18">
        <f t="shared" si="16"/>
        <v>89</v>
      </c>
      <c r="G127" s="18">
        <f t="shared" si="17"/>
        <v>-28698.149000000005</v>
      </c>
      <c r="H127" s="18">
        <v>152073.79999999999</v>
      </c>
      <c r="I127" s="18">
        <f t="shared" ref="I127:I130" si="18">ROUND(E127/H127*100,1)</f>
        <v>153.19999999999999</v>
      </c>
      <c r="J127" s="11" t="s">
        <v>139</v>
      </c>
    </row>
    <row r="128" spans="1:13" ht="18" customHeight="1">
      <c r="A128" s="15"/>
      <c r="B128" s="61" t="s">
        <v>165</v>
      </c>
      <c r="C128" s="17" t="s">
        <v>37</v>
      </c>
      <c r="D128" s="18">
        <f>('[10]9месяцев'!$B$60+'[10]9месяцев'!$B$61)/1000</f>
        <v>158886.90299999999</v>
      </c>
      <c r="E128" s="18">
        <f>140077.3+16813.7</f>
        <v>156891</v>
      </c>
      <c r="F128" s="18">
        <f t="shared" si="16"/>
        <v>98.7</v>
      </c>
      <c r="G128" s="18">
        <f t="shared" si="17"/>
        <v>-1995.9029999999912</v>
      </c>
      <c r="H128" s="18">
        <v>118110.1</v>
      </c>
      <c r="I128" s="18">
        <f t="shared" si="18"/>
        <v>132.80000000000001</v>
      </c>
      <c r="J128" s="11" t="s">
        <v>139</v>
      </c>
    </row>
    <row r="129" spans="1:13" ht="31.5">
      <c r="A129" s="15"/>
      <c r="B129" s="61" t="s">
        <v>166</v>
      </c>
      <c r="C129" s="17" t="s">
        <v>37</v>
      </c>
      <c r="D129" s="18">
        <f>'[10]9месяцев'!$B$62/1000</f>
        <v>109007.26300000001</v>
      </c>
      <c r="E129" s="18">
        <v>103326.9</v>
      </c>
      <c r="F129" s="18">
        <f t="shared" si="16"/>
        <v>94.8</v>
      </c>
      <c r="G129" s="18">
        <f t="shared" si="17"/>
        <v>-5680.3630000000121</v>
      </c>
      <c r="H129" s="18">
        <v>108206.9</v>
      </c>
      <c r="I129" s="18">
        <f t="shared" si="18"/>
        <v>95.5</v>
      </c>
      <c r="J129" s="11" t="s">
        <v>139</v>
      </c>
    </row>
    <row r="130" spans="1:13" ht="15.75">
      <c r="A130" s="15"/>
      <c r="B130" s="61" t="s">
        <v>167</v>
      </c>
      <c r="C130" s="17" t="s">
        <v>37</v>
      </c>
      <c r="D130" s="18">
        <f>'[10]9месяцев'!$B$65/1000</f>
        <v>16097.515875399999</v>
      </c>
      <c r="E130" s="18">
        <v>19532</v>
      </c>
      <c r="F130" s="18">
        <f t="shared" si="16"/>
        <v>121.3</v>
      </c>
      <c r="G130" s="18">
        <f t="shared" si="17"/>
        <v>3434.4841246000015</v>
      </c>
      <c r="H130" s="18">
        <v>20414.3</v>
      </c>
      <c r="I130" s="18">
        <f t="shared" si="18"/>
        <v>95.7</v>
      </c>
      <c r="J130" s="11" t="s">
        <v>139</v>
      </c>
    </row>
    <row r="131" spans="1:13" ht="23.25" customHeight="1">
      <c r="A131" s="17" t="s">
        <v>168</v>
      </c>
      <c r="B131" s="78" t="s">
        <v>169</v>
      </c>
      <c r="C131" s="17" t="s">
        <v>37</v>
      </c>
      <c r="D131" s="18"/>
      <c r="E131" s="6">
        <v>2447343.7999999998</v>
      </c>
      <c r="F131" s="6"/>
      <c r="G131" s="6">
        <f>E131-D131</f>
        <v>2447343.7999999998</v>
      </c>
      <c r="H131" s="6"/>
      <c r="I131" s="6">
        <f>IF(H131&gt;0,ROUND(E131/H131*100,1),0)</f>
        <v>0</v>
      </c>
      <c r="K131" t="s">
        <v>170</v>
      </c>
    </row>
    <row r="132" spans="1:13" ht="15.75">
      <c r="A132" s="15"/>
      <c r="B132" s="15" t="s">
        <v>12</v>
      </c>
      <c r="C132" s="17" t="s">
        <v>37</v>
      </c>
      <c r="D132" s="18"/>
      <c r="E132" s="18"/>
      <c r="F132" s="18"/>
      <c r="G132" s="18">
        <f t="shared" si="17"/>
        <v>0</v>
      </c>
      <c r="H132" s="18"/>
      <c r="I132" s="18"/>
    </row>
    <row r="133" spans="1:13" ht="24.75" customHeight="1">
      <c r="A133" s="15"/>
      <c r="B133" s="29" t="s">
        <v>171</v>
      </c>
      <c r="C133" s="17" t="s">
        <v>37</v>
      </c>
      <c r="D133" s="34"/>
      <c r="E133" s="34">
        <f>E131</f>
        <v>2447343.7999999998</v>
      </c>
      <c r="F133" s="34"/>
      <c r="G133" s="34">
        <f t="shared" si="17"/>
        <v>2447343.7999999998</v>
      </c>
      <c r="H133" s="34">
        <v>2576536</v>
      </c>
      <c r="I133" s="34">
        <f>IF(H133&gt;0,ROUND(E133/H133*100,1),0)</f>
        <v>95</v>
      </c>
      <c r="K133" t="s">
        <v>170</v>
      </c>
      <c r="L133" t="s">
        <v>170</v>
      </c>
      <c r="M133" t="s">
        <v>172</v>
      </c>
    </row>
    <row r="134" spans="1:13" ht="15.75">
      <c r="A134" s="15"/>
      <c r="B134" s="15" t="s">
        <v>163</v>
      </c>
      <c r="C134" s="17" t="s">
        <v>37</v>
      </c>
      <c r="D134" s="18"/>
      <c r="E134" s="18"/>
      <c r="F134" s="18"/>
      <c r="G134" s="18">
        <f t="shared" si="17"/>
        <v>0</v>
      </c>
      <c r="H134" s="18"/>
      <c r="I134" s="18"/>
    </row>
    <row r="135" spans="1:13" ht="15.75">
      <c r="A135" s="15"/>
      <c r="B135" s="61" t="s">
        <v>173</v>
      </c>
      <c r="C135" s="17" t="s">
        <v>37</v>
      </c>
      <c r="D135" s="18"/>
      <c r="E135" s="18">
        <v>1062856.8999999999</v>
      </c>
      <c r="F135" s="18"/>
      <c r="G135" s="18">
        <f t="shared" si="17"/>
        <v>1062856.8999999999</v>
      </c>
      <c r="H135" s="18">
        <v>1291825.2</v>
      </c>
      <c r="I135" s="18">
        <f>IF(H135&gt;0,ROUND(E135/H135*100,1),0)</f>
        <v>82.3</v>
      </c>
      <c r="K135" t="s">
        <v>170</v>
      </c>
      <c r="L135" t="s">
        <v>170</v>
      </c>
      <c r="M135" t="s">
        <v>174</v>
      </c>
    </row>
    <row r="136" spans="1:13" ht="15.75">
      <c r="A136" s="15"/>
      <c r="B136" s="61" t="s">
        <v>175</v>
      </c>
      <c r="C136" s="17" t="s">
        <v>37</v>
      </c>
      <c r="D136" s="18"/>
      <c r="E136" s="18">
        <v>1016.1</v>
      </c>
      <c r="F136" s="18"/>
      <c r="G136" s="18">
        <f t="shared" si="17"/>
        <v>1016.1</v>
      </c>
      <c r="H136" s="18">
        <v>274.89999999999998</v>
      </c>
      <c r="I136" s="18">
        <f>IF(H136&gt;0,ROUND(E136/H136*100,1),0)</f>
        <v>369.6</v>
      </c>
      <c r="K136" t="s">
        <v>170</v>
      </c>
      <c r="L136" t="s">
        <v>170</v>
      </c>
      <c r="M136" t="s">
        <v>176</v>
      </c>
    </row>
    <row r="137" spans="1:13" ht="15.75">
      <c r="A137" s="15"/>
      <c r="B137" s="16" t="s">
        <v>177</v>
      </c>
      <c r="C137" s="17" t="s">
        <v>37</v>
      </c>
      <c r="D137" s="18"/>
      <c r="E137" s="18">
        <v>545702</v>
      </c>
      <c r="F137" s="18"/>
      <c r="G137" s="18">
        <f t="shared" si="17"/>
        <v>545702</v>
      </c>
      <c r="H137" s="18">
        <v>954710.1</v>
      </c>
      <c r="I137" s="18">
        <f>IF(H137&gt;0,ROUND(E137/H137*100,1),0)</f>
        <v>57.2</v>
      </c>
      <c r="K137" t="s">
        <v>170</v>
      </c>
      <c r="L137" t="s">
        <v>170</v>
      </c>
      <c r="M137" t="s">
        <v>178</v>
      </c>
    </row>
    <row r="138" spans="1:13" ht="15.75">
      <c r="A138" s="15"/>
      <c r="B138" s="15" t="s">
        <v>52</v>
      </c>
      <c r="C138" s="17" t="s">
        <v>37</v>
      </c>
      <c r="D138" s="18"/>
      <c r="E138" s="18"/>
      <c r="F138" s="18"/>
      <c r="G138" s="18">
        <f t="shared" si="17"/>
        <v>0</v>
      </c>
      <c r="H138" s="18"/>
      <c r="I138" s="18"/>
      <c r="K138" t="s">
        <v>170</v>
      </c>
      <c r="L138" t="s">
        <v>170</v>
      </c>
    </row>
    <row r="139" spans="1:13" ht="20.25" customHeight="1">
      <c r="A139" s="79"/>
      <c r="B139" s="80" t="s">
        <v>179</v>
      </c>
      <c r="C139" s="17" t="s">
        <v>37</v>
      </c>
      <c r="D139" s="81"/>
      <c r="E139" s="81">
        <v>179232.3</v>
      </c>
      <c r="F139" s="18"/>
      <c r="G139" s="81">
        <f t="shared" si="17"/>
        <v>179232.3</v>
      </c>
      <c r="H139" s="81">
        <v>237448.2</v>
      </c>
      <c r="I139" s="18">
        <f>IF(H139&gt;0,ROUND(E139/H139*100,1),0)</f>
        <v>75.5</v>
      </c>
      <c r="K139" t="s">
        <v>170</v>
      </c>
      <c r="L139" t="s">
        <v>170</v>
      </c>
      <c r="M139" t="s">
        <v>180</v>
      </c>
    </row>
    <row r="140" spans="1:13" ht="15.75">
      <c r="A140" s="15"/>
      <c r="B140" s="15" t="s">
        <v>163</v>
      </c>
      <c r="C140" s="17" t="s">
        <v>37</v>
      </c>
      <c r="D140" s="18"/>
      <c r="E140" s="18"/>
      <c r="F140" s="18"/>
      <c r="G140" s="18">
        <f t="shared" si="17"/>
        <v>0</v>
      </c>
      <c r="H140" s="18"/>
      <c r="I140" s="18"/>
      <c r="K140" t="s">
        <v>170</v>
      </c>
      <c r="L140" t="s">
        <v>170</v>
      </c>
    </row>
    <row r="141" spans="1:13" ht="20.25" customHeight="1">
      <c r="A141" s="15"/>
      <c r="B141" s="61" t="s">
        <v>181</v>
      </c>
      <c r="C141" s="17" t="s">
        <v>37</v>
      </c>
      <c r="D141" s="18"/>
      <c r="E141" s="18">
        <v>94847.4</v>
      </c>
      <c r="F141" s="18"/>
      <c r="G141" s="18">
        <f t="shared" si="17"/>
        <v>94847.4</v>
      </c>
      <c r="H141" s="18">
        <v>108761.4</v>
      </c>
      <c r="I141" s="18">
        <f>IF(H141&gt;0,ROUND(E141/H141*100,1),0)</f>
        <v>87.2</v>
      </c>
      <c r="K141" t="s">
        <v>170</v>
      </c>
      <c r="L141" t="s">
        <v>170</v>
      </c>
      <c r="M141" t="s">
        <v>182</v>
      </c>
    </row>
    <row r="142" spans="1:13" ht="15.75">
      <c r="A142" s="15"/>
      <c r="B142" s="61" t="s">
        <v>183</v>
      </c>
      <c r="C142" s="17" t="s">
        <v>37</v>
      </c>
      <c r="D142" s="18"/>
      <c r="E142" s="18">
        <v>74367.8</v>
      </c>
      <c r="F142" s="18"/>
      <c r="G142" s="18">
        <f t="shared" si="17"/>
        <v>74367.8</v>
      </c>
      <c r="H142" s="18">
        <v>109975.1</v>
      </c>
      <c r="I142" s="18">
        <f>IF(H142&gt;0,ROUND(E142/H142*100,1),0)</f>
        <v>67.599999999999994</v>
      </c>
      <c r="K142" t="s">
        <v>170</v>
      </c>
      <c r="L142" t="s">
        <v>170</v>
      </c>
      <c r="M142" t="s">
        <v>184</v>
      </c>
    </row>
    <row r="143" spans="1:13" ht="15.75">
      <c r="A143" s="15"/>
      <c r="B143" s="80" t="s">
        <v>185</v>
      </c>
      <c r="C143" s="17" t="s">
        <v>37</v>
      </c>
      <c r="D143" s="18"/>
      <c r="E143" s="18">
        <v>34651.199999999997</v>
      </c>
      <c r="F143" s="18"/>
      <c r="G143" s="18">
        <f>E143-D143</f>
        <v>34651.199999999997</v>
      </c>
      <c r="H143" s="18">
        <v>1126.5</v>
      </c>
      <c r="I143" s="18">
        <f>IF(H143&gt;0,ROUND(E143/H143*100,1),0)</f>
        <v>3076</v>
      </c>
      <c r="K143" t="s">
        <v>170</v>
      </c>
      <c r="L143" t="s">
        <v>170</v>
      </c>
      <c r="M143" t="s">
        <v>186</v>
      </c>
    </row>
    <row r="144" spans="1:13" ht="18" customHeight="1">
      <c r="A144" s="15"/>
      <c r="B144" s="15" t="s">
        <v>163</v>
      </c>
      <c r="C144" s="17" t="s">
        <v>37</v>
      </c>
      <c r="D144" s="18"/>
      <c r="E144" s="18"/>
      <c r="F144" s="18"/>
      <c r="G144" s="18">
        <f t="shared" si="17"/>
        <v>0</v>
      </c>
      <c r="H144" s="18"/>
      <c r="I144" s="18"/>
      <c r="K144" t="s">
        <v>170</v>
      </c>
      <c r="L144" t="s">
        <v>170</v>
      </c>
    </row>
    <row r="145" spans="1:12" ht="15.75">
      <c r="A145" s="15"/>
      <c r="B145" s="30" t="s">
        <v>187</v>
      </c>
      <c r="C145" s="17" t="s">
        <v>37</v>
      </c>
      <c r="D145" s="18"/>
      <c r="E145" s="18">
        <v>74.099999999999994</v>
      </c>
      <c r="F145" s="18"/>
      <c r="G145" s="18">
        <f t="shared" si="17"/>
        <v>74.099999999999994</v>
      </c>
      <c r="H145" s="18">
        <v>76.7</v>
      </c>
      <c r="I145" s="18">
        <f>IF(H145&gt;0,ROUND(E145/H145*100,1),0)</f>
        <v>96.6</v>
      </c>
      <c r="K145" t="s">
        <v>170</v>
      </c>
    </row>
    <row r="146" spans="1:12" ht="18.75" hidden="1" customHeight="1" outlineLevel="1">
      <c r="A146" s="15" t="s">
        <v>188</v>
      </c>
      <c r="B146" s="16" t="s">
        <v>189</v>
      </c>
      <c r="C146" s="17" t="s">
        <v>37</v>
      </c>
      <c r="D146" s="18"/>
      <c r="E146" s="18"/>
      <c r="F146" s="18"/>
      <c r="G146" s="18">
        <f>E146-D146</f>
        <v>0</v>
      </c>
      <c r="H146" s="18"/>
      <c r="I146" s="18">
        <f>IF(H146&gt;0,ROUND(D146/H146*100,1),0)</f>
        <v>0</v>
      </c>
      <c r="K146" t="s">
        <v>170</v>
      </c>
    </row>
    <row r="147" spans="1:12" ht="15.75" collapsed="1">
      <c r="A147" s="15">
        <v>30</v>
      </c>
      <c r="B147" s="16" t="s">
        <v>190</v>
      </c>
      <c r="C147" s="17" t="s">
        <v>37</v>
      </c>
      <c r="D147" s="18"/>
      <c r="E147" s="18">
        <v>154866.4</v>
      </c>
      <c r="F147" s="18"/>
      <c r="G147" s="18">
        <f>E147-D147</f>
        <v>154866.4</v>
      </c>
      <c r="H147" s="18">
        <v>92277.5</v>
      </c>
      <c r="I147" s="18">
        <f>ROUND(E147/H147*100,1)</f>
        <v>167.8</v>
      </c>
      <c r="K147" t="s">
        <v>170</v>
      </c>
      <c r="L147" t="s">
        <v>191</v>
      </c>
    </row>
    <row r="148" spans="1:12" ht="15.75" hidden="1" outlineLevel="1">
      <c r="A148" s="15"/>
      <c r="B148" s="15" t="s">
        <v>12</v>
      </c>
      <c r="C148" s="17" t="s">
        <v>37</v>
      </c>
      <c r="D148" s="18"/>
      <c r="E148" s="18"/>
      <c r="F148" s="18"/>
      <c r="G148" s="18">
        <f t="shared" si="17"/>
        <v>0</v>
      </c>
      <c r="H148" s="18"/>
      <c r="I148" s="18"/>
      <c r="K148" t="s">
        <v>170</v>
      </c>
    </row>
    <row r="149" spans="1:12" ht="15.75" hidden="1" outlineLevel="1">
      <c r="A149" s="15"/>
      <c r="B149" s="16" t="s">
        <v>192</v>
      </c>
      <c r="C149" s="17" t="s">
        <v>37</v>
      </c>
      <c r="D149" s="18"/>
      <c r="E149" s="18"/>
      <c r="F149" s="18"/>
      <c r="G149" s="18">
        <f t="shared" si="17"/>
        <v>0</v>
      </c>
      <c r="H149" s="18"/>
      <c r="I149" s="18"/>
      <c r="K149" t="s">
        <v>170</v>
      </c>
    </row>
    <row r="150" spans="1:12" ht="15.75" hidden="1" outlineLevel="1">
      <c r="A150" s="15"/>
      <c r="B150" s="16" t="s">
        <v>193</v>
      </c>
      <c r="C150" s="17" t="s">
        <v>37</v>
      </c>
      <c r="D150" s="18"/>
      <c r="E150" s="18"/>
      <c r="F150" s="18"/>
      <c r="G150" s="18">
        <f t="shared" si="17"/>
        <v>0</v>
      </c>
      <c r="H150" s="18"/>
      <c r="I150" s="18" t="e">
        <f>ROUND(E150/H150*100,1)</f>
        <v>#DIV/0!</v>
      </c>
      <c r="K150" t="s">
        <v>170</v>
      </c>
    </row>
    <row r="151" spans="1:12" ht="15.75" collapsed="1">
      <c r="A151" s="15">
        <v>31</v>
      </c>
      <c r="B151" s="16" t="s">
        <v>194</v>
      </c>
      <c r="C151" s="17" t="s">
        <v>37</v>
      </c>
      <c r="D151" s="18"/>
      <c r="E151" s="18">
        <v>295322.90000000002</v>
      </c>
      <c r="F151" s="18"/>
      <c r="G151" s="18">
        <f t="shared" si="17"/>
        <v>295322.90000000002</v>
      </c>
      <c r="H151" s="18">
        <v>263826.09999999998</v>
      </c>
      <c r="I151" s="18">
        <f>ROUND(E151/H151*100,1)</f>
        <v>111.9</v>
      </c>
      <c r="K151" t="s">
        <v>170</v>
      </c>
      <c r="L151" t="s">
        <v>191</v>
      </c>
    </row>
    <row r="152" spans="1:12" ht="15.75" hidden="1" outlineLevel="1">
      <c r="A152" s="38"/>
      <c r="B152" s="38" t="s">
        <v>12</v>
      </c>
      <c r="C152" s="39"/>
      <c r="D152" s="40"/>
      <c r="E152" s="40"/>
      <c r="F152" s="40"/>
      <c r="G152" s="40"/>
      <c r="H152" s="41">
        <v>198879</v>
      </c>
      <c r="I152" s="42"/>
    </row>
    <row r="153" spans="1:12" ht="15.75" hidden="1" outlineLevel="1">
      <c r="A153" s="38"/>
      <c r="B153" s="43" t="s">
        <v>195</v>
      </c>
      <c r="C153" s="39" t="s">
        <v>37</v>
      </c>
      <c r="D153" s="40"/>
      <c r="E153" s="40"/>
      <c r="F153" s="40"/>
      <c r="G153" s="40"/>
      <c r="H153" s="41"/>
      <c r="I153" s="40"/>
    </row>
    <row r="154" spans="1:12" ht="15.75" hidden="1" outlineLevel="1">
      <c r="A154" s="38"/>
      <c r="B154" s="43" t="s">
        <v>193</v>
      </c>
      <c r="C154" s="39" t="s">
        <v>37</v>
      </c>
      <c r="D154" s="40"/>
      <c r="E154" s="40"/>
      <c r="F154" s="40"/>
      <c r="G154" s="40"/>
      <c r="H154" s="41"/>
      <c r="I154" s="40" t="e">
        <f>ROUND(E154/H154*100,1)</f>
        <v>#DIV/0!</v>
      </c>
    </row>
    <row r="155" spans="1:12" ht="15.75" hidden="1" outlineLevel="1">
      <c r="A155" s="38"/>
      <c r="B155" s="43" t="s">
        <v>196</v>
      </c>
      <c r="C155" s="39" t="s">
        <v>37</v>
      </c>
      <c r="D155" s="40"/>
      <c r="E155" s="40"/>
      <c r="F155" s="40"/>
      <c r="G155" s="40"/>
      <c r="H155" s="41"/>
      <c r="I155" s="40" t="e">
        <f>ROUND(E155/H155*100,1)</f>
        <v>#DIV/0!</v>
      </c>
    </row>
    <row r="156" spans="1:12" ht="15.75" hidden="1" outlineLevel="1">
      <c r="A156" s="38"/>
      <c r="B156" s="43" t="s">
        <v>197</v>
      </c>
      <c r="C156" s="39" t="s">
        <v>37</v>
      </c>
      <c r="D156" s="40"/>
      <c r="E156" s="40">
        <v>0</v>
      </c>
      <c r="F156" s="40"/>
      <c r="G156" s="40"/>
      <c r="H156" s="41"/>
      <c r="I156" s="40" t="e">
        <f>ROUND(E156/H156*100,1)</f>
        <v>#DIV/0!</v>
      </c>
    </row>
    <row r="157" spans="1:12" ht="15.75" hidden="1" outlineLevel="1">
      <c r="A157" s="38"/>
      <c r="B157" s="43" t="s">
        <v>198</v>
      </c>
      <c r="C157" s="39" t="s">
        <v>37</v>
      </c>
      <c r="D157" s="40"/>
      <c r="E157" s="40"/>
      <c r="F157" s="40"/>
      <c r="G157" s="40"/>
      <c r="H157" s="41"/>
      <c r="I157" s="40" t="e">
        <f>ROUND(E157/H157*100,1)</f>
        <v>#DIV/0!</v>
      </c>
    </row>
    <row r="158" spans="1:12" ht="15.75" hidden="1" outlineLevel="1">
      <c r="A158" s="38"/>
      <c r="B158" s="43" t="s">
        <v>199</v>
      </c>
      <c r="C158" s="39" t="s">
        <v>37</v>
      </c>
      <c r="D158" s="40"/>
      <c r="E158" s="40"/>
      <c r="F158" s="40"/>
      <c r="G158" s="40"/>
      <c r="H158" s="41"/>
      <c r="I158" s="40" t="e">
        <f>ROUND(E158/H158*100,1)</f>
        <v>#DIV/0!</v>
      </c>
    </row>
    <row r="159" spans="1:12" collapsed="1">
      <c r="H159" s="44"/>
    </row>
    <row r="160" spans="1:12" ht="18.75">
      <c r="A160" s="32"/>
      <c r="B160" s="45" t="s">
        <v>205</v>
      </c>
      <c r="C160" s="46"/>
      <c r="D160" s="46"/>
      <c r="E160" s="46"/>
      <c r="F160" s="46"/>
      <c r="G160" s="47" t="s">
        <v>200</v>
      </c>
      <c r="H160" s="46"/>
      <c r="I160" s="46"/>
    </row>
    <row r="161" spans="1:9" ht="18.75">
      <c r="A161" s="32"/>
      <c r="B161" s="48"/>
      <c r="C161" s="48"/>
      <c r="D161" s="48"/>
      <c r="E161" s="48"/>
      <c r="F161" s="48"/>
      <c r="G161" s="48"/>
      <c r="H161" s="48"/>
      <c r="I161" s="48"/>
    </row>
    <row r="162" spans="1:9" ht="18.75">
      <c r="A162" s="32"/>
      <c r="B162" s="46" t="s">
        <v>201</v>
      </c>
      <c r="C162" s="46"/>
      <c r="D162" s="46"/>
      <c r="E162" s="46"/>
      <c r="F162" s="48"/>
      <c r="G162" s="46" t="s">
        <v>202</v>
      </c>
      <c r="H162" s="46"/>
      <c r="I162" s="48"/>
    </row>
    <row r="163" spans="1:9" ht="18.75" outlineLevel="1">
      <c r="A163" s="32"/>
      <c r="B163" s="46"/>
      <c r="C163" s="46"/>
      <c r="D163" s="46"/>
      <c r="E163" s="46"/>
      <c r="F163" s="48"/>
      <c r="G163" s="46"/>
      <c r="H163" s="46"/>
      <c r="I163" s="48"/>
    </row>
    <row r="164" spans="1:9" ht="18.75" outlineLevel="1">
      <c r="A164" s="32"/>
      <c r="B164" s="46" t="s">
        <v>206</v>
      </c>
      <c r="C164" s="46"/>
      <c r="D164" s="46"/>
      <c r="E164" s="46"/>
      <c r="F164" s="48"/>
      <c r="G164" s="46" t="str">
        <f>'[2]2019'!$G$164</f>
        <v>Бегматов  Ш.Т.</v>
      </c>
      <c r="H164" s="46"/>
      <c r="I164" s="48"/>
    </row>
    <row r="165" spans="1:9" ht="18.75">
      <c r="A165" s="32"/>
      <c r="B165" s="46"/>
      <c r="C165" s="46"/>
      <c r="D165" s="46"/>
      <c r="E165" s="46"/>
      <c r="F165" s="48"/>
      <c r="G165" s="46"/>
      <c r="H165" s="46"/>
      <c r="I165" s="48"/>
    </row>
    <row r="166" spans="1:9" ht="18.75">
      <c r="A166" s="32"/>
      <c r="B166" s="46" t="str">
        <f>'[3]2019'!B168</f>
        <v>Начальник ОЭАиП</v>
      </c>
      <c r="C166" s="46"/>
      <c r="D166" s="46"/>
      <c r="E166" s="46"/>
      <c r="F166" s="48"/>
      <c r="G166" s="46" t="s">
        <v>203</v>
      </c>
      <c r="H166" s="46"/>
      <c r="I166" s="48"/>
    </row>
    <row r="167" spans="1:9" ht="15.75">
      <c r="B167" s="49"/>
      <c r="C167" s="49"/>
      <c r="D167" s="49"/>
      <c r="E167" s="49"/>
      <c r="G167" s="49"/>
    </row>
    <row r="168" spans="1:9" ht="15.75">
      <c r="B168" s="49"/>
      <c r="C168" s="49"/>
      <c r="D168" s="49"/>
      <c r="E168" s="49"/>
      <c r="G168" s="49"/>
    </row>
    <row r="169" spans="1:9" ht="15.75">
      <c r="C169" s="49"/>
      <c r="D169" s="49"/>
      <c r="E169" s="49"/>
      <c r="G169" s="49"/>
    </row>
    <row r="170" spans="1:9" ht="15.75">
      <c r="B170" s="49"/>
      <c r="C170" s="49"/>
      <c r="D170" s="49"/>
      <c r="E170" s="49"/>
      <c r="G170" s="49"/>
    </row>
  </sheetData>
  <mergeCells count="12">
    <mergeCell ref="A4:I4"/>
    <mergeCell ref="A30:I30"/>
    <mergeCell ref="A47:I47"/>
    <mergeCell ref="A58:I58"/>
    <mergeCell ref="A69:I69"/>
    <mergeCell ref="A1:I1"/>
    <mergeCell ref="A2:A3"/>
    <mergeCell ref="B2:B3"/>
    <mergeCell ref="C2:C3"/>
    <mergeCell ref="D2:G2"/>
    <mergeCell ref="H2:H3"/>
    <mergeCell ref="I2:I3"/>
  </mergeCells>
  <printOptions horizontalCentered="1"/>
  <pageMargins left="0.19685039370078741" right="0" top="0.51181102362204722" bottom="0.15748031496062992" header="0.15748031496062992" footer="0.11811023622047245"/>
  <pageSetup paperSize="9" scale="68" orientation="portrait" blackAndWhite="1" r:id="rId1"/>
  <headerFooter alignWithMargins="0"/>
  <rowBreaks count="1" manualBreakCount="1">
    <brk id="9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46</vt:i4>
      </vt:variant>
    </vt:vector>
  </HeadingPairs>
  <TitlesOfParts>
    <vt:vector size="71" baseType="lpstr">
      <vt:lpstr>1 кв со спец надбавкой</vt:lpstr>
      <vt:lpstr>1-полугодие дактив.</vt:lpstr>
      <vt:lpstr>1 кв без спец надбавки</vt:lpstr>
      <vt:lpstr>1-полугод 25г.спец.надб.</vt:lpstr>
      <vt:lpstr>9МЕС.СО СПЕЦ.НАДБАВКИ (2)</vt:lpstr>
      <vt:lpstr>2025 год по смете со спец.надб.</vt:lpstr>
      <vt:lpstr>2025 год по бизнес плану со спе</vt:lpstr>
      <vt:lpstr>1 полугодие</vt:lpstr>
      <vt:lpstr>9 месяцев 22 года.</vt:lpstr>
      <vt:lpstr>9 мес.21 г (с надб)</vt:lpstr>
      <vt:lpstr>2022 г. </vt:lpstr>
      <vt:lpstr>2021 г. давлат активлари</vt:lpstr>
      <vt:lpstr>за 1 полугодие 20 г.</vt:lpstr>
      <vt:lpstr>9месяцев 2020 г. для давлат акт</vt:lpstr>
      <vt:lpstr>9месяцев 2020 г. с зат.по виду</vt:lpstr>
      <vt:lpstr>2020 г. для давлат (2</vt:lpstr>
      <vt:lpstr>2020 г. по зат.по виду</vt:lpstr>
      <vt:lpstr>1-полугод 2023 г. без.сп.над </vt:lpstr>
      <vt:lpstr>9МЕС.СО СПЕЦ.НАДБАВКИ</vt:lpstr>
      <vt:lpstr>12.МЕС.СО СПЕЦ.НАДБАВКой</vt:lpstr>
      <vt:lpstr>9МЕС БЕЗ СПЕЦ.НАДБ.</vt:lpstr>
      <vt:lpstr>12.МЕС.СО СПЕЦ.НАДБАВКИ (2)</vt:lpstr>
      <vt:lpstr>12.МЕС.без СПЕЦ.НАДБ.</vt:lpstr>
      <vt:lpstr>Лист4</vt:lpstr>
      <vt:lpstr>Лист2</vt:lpstr>
      <vt:lpstr>'1 кв без спец надбавки'!Заголовки_для_печати</vt:lpstr>
      <vt:lpstr>'1 кв со спец надбавкой'!Заголовки_для_печати</vt:lpstr>
      <vt:lpstr>'1 полугодие'!Заголовки_для_печати</vt:lpstr>
      <vt:lpstr>'12.МЕС.без СПЕЦ.НАДБ.'!Заголовки_для_печати</vt:lpstr>
      <vt:lpstr>'12.МЕС.СО СПЕЦ.НАДБАВКИ (2)'!Заголовки_для_печати</vt:lpstr>
      <vt:lpstr>'12.МЕС.СО СПЕЦ.НАДБАВКой'!Заголовки_для_печати</vt:lpstr>
      <vt:lpstr>'1-полугод 2023 г. без.сп.над '!Заголовки_для_печати</vt:lpstr>
      <vt:lpstr>'1-полугод 25г.спец.надб.'!Заголовки_для_печати</vt:lpstr>
      <vt:lpstr>'1-полугодие дактив.'!Заголовки_для_печати</vt:lpstr>
      <vt:lpstr>'2020 г. для давлат (2'!Заголовки_для_печати</vt:lpstr>
      <vt:lpstr>'2020 г. по зат.по виду'!Заголовки_для_печати</vt:lpstr>
      <vt:lpstr>'2021 г. давлат активлари'!Заголовки_для_печати</vt:lpstr>
      <vt:lpstr>'2022 г. '!Заголовки_для_печати</vt:lpstr>
      <vt:lpstr>'2025 год по бизнес плану со спе'!Заголовки_для_печати</vt:lpstr>
      <vt:lpstr>'2025 год по смете со спец.надб.'!Заголовки_для_печати</vt:lpstr>
      <vt:lpstr>'9 мес.21 г (с надб)'!Заголовки_для_печати</vt:lpstr>
      <vt:lpstr>'9 месяцев 22 года.'!Заголовки_для_печати</vt:lpstr>
      <vt:lpstr>'9МЕС БЕЗ СПЕЦ.НАДБ.'!Заголовки_для_печати</vt:lpstr>
      <vt:lpstr>'9МЕС.СО СПЕЦ.НАДБАВКИ'!Заголовки_для_печати</vt:lpstr>
      <vt:lpstr>'9МЕС.СО СПЕЦ.НАДБАВКИ (2)'!Заголовки_для_печати</vt:lpstr>
      <vt:lpstr>'9месяцев 2020 г. для давлат акт'!Заголовки_для_печати</vt:lpstr>
      <vt:lpstr>'9месяцев 2020 г. с зат.по виду'!Заголовки_для_печати</vt:lpstr>
      <vt:lpstr>'за 1 полугодие 20 г.'!Заголовки_для_печати</vt:lpstr>
      <vt:lpstr>'1 кв без спец надбавки'!Область_печати</vt:lpstr>
      <vt:lpstr>'1 кв со спец надбавкой'!Область_печати</vt:lpstr>
      <vt:lpstr>'1 полугодие'!Область_печати</vt:lpstr>
      <vt:lpstr>'12.МЕС.без СПЕЦ.НАДБ.'!Область_печати</vt:lpstr>
      <vt:lpstr>'12.МЕС.СО СПЕЦ.НАДБАВКИ (2)'!Область_печати</vt:lpstr>
      <vt:lpstr>'12.МЕС.СО СПЕЦ.НАДБАВКой'!Область_печати</vt:lpstr>
      <vt:lpstr>'1-полугод 2023 г. без.сп.над '!Область_печати</vt:lpstr>
      <vt:lpstr>'1-полугод 25г.спец.надб.'!Область_печати</vt:lpstr>
      <vt:lpstr>'1-полугодие дактив.'!Область_печати</vt:lpstr>
      <vt:lpstr>'2020 г. для давлат (2'!Область_печати</vt:lpstr>
      <vt:lpstr>'2020 г. по зат.по виду'!Область_печати</vt:lpstr>
      <vt:lpstr>'2021 г. давлат активлари'!Область_печати</vt:lpstr>
      <vt:lpstr>'2022 г. '!Область_печати</vt:lpstr>
      <vt:lpstr>'2025 год по бизнес плану со спе'!Область_печати</vt:lpstr>
      <vt:lpstr>'2025 год по смете со спец.надб.'!Область_печати</vt:lpstr>
      <vt:lpstr>'9 мес.21 г (с надб)'!Область_печати</vt:lpstr>
      <vt:lpstr>'9 месяцев 22 года.'!Область_печати</vt:lpstr>
      <vt:lpstr>'9МЕС БЕЗ СПЕЦ.НАДБ.'!Область_печати</vt:lpstr>
      <vt:lpstr>'9МЕС.СО СПЕЦ.НАДБАВКИ'!Область_печати</vt:lpstr>
      <vt:lpstr>'9МЕС.СО СПЕЦ.НАДБАВКИ (2)'!Область_печати</vt:lpstr>
      <vt:lpstr>'9месяцев 2020 г. для давлат акт'!Область_печати</vt:lpstr>
      <vt:lpstr>'9месяцев 2020 г. с зат.по виду'!Область_печати</vt:lpstr>
      <vt:lpstr>'за 1 полугодие 20 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2026-03-13T11:33:23Z</cp:lastPrinted>
  <dcterms:created xsi:type="dcterms:W3CDTF">2020-05-06T06:51:25Z</dcterms:created>
  <dcterms:modified xsi:type="dcterms:W3CDTF">2026-03-13T12:15:02Z</dcterms:modified>
</cp:coreProperties>
</file>